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6dbea6e8b86bf6a6/Desktop/"/>
    </mc:Choice>
  </mc:AlternateContent>
  <xr:revisionPtr revIDLastSave="33" documentId="14_{D27EA5FF-3599-42CB-A58D-8474C53C2A40}" xr6:coauthVersionLast="46" xr6:coauthVersionMax="46" xr10:uidLastSave="{DA7188F7-7220-4D86-A940-4713E44B0E9F}"/>
  <bookViews>
    <workbookView xWindow="-120" yWindow="-120" windowWidth="29040" windowHeight="15840" xr2:uid="{00000000-000D-0000-FFFF-FFFF00000000}"/>
  </bookViews>
  <sheets>
    <sheet name="Target - 150" sheetId="1" r:id="rId1"/>
    <sheet name="Sheet1" sheetId="2" r:id="rId2"/>
    <sheet name="Target - 5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3" l="1"/>
  <c r="B50" i="3"/>
  <c r="C50" i="3" s="1"/>
  <c r="B46" i="3"/>
  <c r="C39" i="3"/>
  <c r="C35" i="3"/>
  <c r="C34" i="3"/>
  <c r="B34" i="3"/>
  <c r="B33" i="3"/>
  <c r="C33" i="3" s="1"/>
  <c r="B21" i="3"/>
  <c r="B10" i="3"/>
  <c r="B11" i="3" s="1"/>
  <c r="C53" i="2"/>
  <c r="N48" i="2"/>
  <c r="M48" i="2"/>
  <c r="L48" i="2"/>
  <c r="K48" i="2"/>
  <c r="J48" i="2"/>
  <c r="I48" i="2"/>
  <c r="H48" i="2"/>
  <c r="G48" i="2"/>
  <c r="F48" i="2"/>
  <c r="E48" i="2"/>
  <c r="D48" i="2"/>
  <c r="C48" i="2"/>
  <c r="C55" i="2" s="1"/>
  <c r="P47" i="2"/>
  <c r="P48" i="2" s="1"/>
  <c r="P46" i="2"/>
  <c r="P45" i="2"/>
  <c r="B41" i="2"/>
  <c r="P39" i="2"/>
  <c r="N36" i="2"/>
  <c r="M36" i="2"/>
  <c r="L36" i="2"/>
  <c r="K36" i="2"/>
  <c r="J36" i="2"/>
  <c r="I36" i="2"/>
  <c r="H36" i="2"/>
  <c r="G36" i="2"/>
  <c r="F36" i="2"/>
  <c r="E36" i="2"/>
  <c r="D36" i="2"/>
  <c r="C36" i="2"/>
  <c r="P35" i="2"/>
  <c r="P34" i="2"/>
  <c r="P33" i="2"/>
  <c r="P32" i="2"/>
  <c r="P31" i="2"/>
  <c r="P36" i="2" s="1"/>
  <c r="B28" i="2"/>
  <c r="P27" i="2"/>
  <c r="P26" i="2"/>
  <c r="P25" i="2"/>
  <c r="P22" i="2"/>
  <c r="P21" i="2"/>
  <c r="P19" i="2"/>
  <c r="P16" i="2"/>
  <c r="P15" i="2"/>
  <c r="P14" i="2"/>
  <c r="C11" i="2"/>
  <c r="C17" i="2" s="1"/>
  <c r="D4" i="2"/>
  <c r="E4" i="2" s="1"/>
  <c r="B50" i="1"/>
  <c r="B54" i="1" s="1"/>
  <c r="C43" i="1"/>
  <c r="C39" i="1"/>
  <c r="B37" i="1"/>
  <c r="C37" i="1" s="1"/>
  <c r="B25" i="1"/>
  <c r="B12" i="1"/>
  <c r="B11" i="1"/>
  <c r="C54" i="1" l="1"/>
  <c r="C41" i="2"/>
  <c r="C28" i="2"/>
  <c r="C52" i="2" s="1"/>
  <c r="E55" i="2"/>
  <c r="F4" i="2"/>
  <c r="E20" i="2"/>
  <c r="E11" i="2"/>
  <c r="D11" i="2"/>
  <c r="B36" i="3"/>
  <c r="B38" i="1"/>
  <c r="B22" i="3"/>
  <c r="B29" i="3" s="1"/>
  <c r="B55" i="3" s="1"/>
  <c r="B14" i="1"/>
  <c r="D11" i="1" s="1"/>
  <c r="C56" i="2"/>
  <c r="D7" i="3"/>
  <c r="D8" i="3"/>
  <c r="B58" i="3"/>
  <c r="D12" i="1" l="1"/>
  <c r="B41" i="3"/>
  <c r="B42" i="3" s="1"/>
  <c r="B52" i="3" s="1"/>
  <c r="B56" i="3"/>
  <c r="C36" i="3"/>
  <c r="G4" i="2"/>
  <c r="F20" i="2"/>
  <c r="F11" i="2"/>
  <c r="B62" i="1"/>
  <c r="B40" i="1"/>
  <c r="C38" i="1"/>
  <c r="C42" i="2"/>
  <c r="B26" i="1"/>
  <c r="B33" i="1" s="1"/>
  <c r="B59" i="1" s="1"/>
  <c r="B63" i="1"/>
  <c r="B15" i="1"/>
  <c r="D55" i="2"/>
  <c r="D56" i="2"/>
  <c r="D53" i="2"/>
  <c r="D17" i="2"/>
  <c r="E56" i="2"/>
  <c r="E17" i="2"/>
  <c r="E53" i="2"/>
  <c r="G20" i="2" l="1"/>
  <c r="H4" i="2"/>
  <c r="G11" i="2"/>
  <c r="D28" i="2"/>
  <c r="D52" i="2" s="1"/>
  <c r="D41" i="2"/>
  <c r="B60" i="3"/>
  <c r="B57" i="3" s="1"/>
  <c r="C52" i="3"/>
  <c r="C50" i="2"/>
  <c r="E41" i="2"/>
  <c r="E42" i="2" s="1"/>
  <c r="E50" i="2" s="1"/>
  <c r="E57" i="2" s="1"/>
  <c r="E54" i="2" s="1"/>
  <c r="E28" i="2"/>
  <c r="E52" i="2" s="1"/>
  <c r="B60" i="1"/>
  <c r="B45" i="1"/>
  <c r="B46" i="1" s="1"/>
  <c r="B56" i="1" s="1"/>
  <c r="C40" i="1"/>
  <c r="F56" i="2"/>
  <c r="F17" i="2"/>
  <c r="F55" i="2"/>
  <c r="F53" i="2"/>
  <c r="F41" i="2" l="1"/>
  <c r="F42" i="2" s="1"/>
  <c r="F50" i="2" s="1"/>
  <c r="F57" i="2" s="1"/>
  <c r="F28" i="2"/>
  <c r="F52" i="2" s="1"/>
  <c r="D42" i="2"/>
  <c r="H11" i="2"/>
  <c r="I4" i="2"/>
  <c r="H20" i="2"/>
  <c r="G56" i="2"/>
  <c r="G17" i="2"/>
  <c r="G55" i="2"/>
  <c r="G53" i="2"/>
  <c r="C57" i="2"/>
  <c r="C54" i="2" s="1"/>
  <c r="F54" i="2"/>
  <c r="C56" i="1"/>
  <c r="B64" i="1"/>
  <c r="B61" i="1" s="1"/>
  <c r="I11" i="2" l="1"/>
  <c r="J4" i="2"/>
  <c r="I20" i="2"/>
  <c r="H56" i="2"/>
  <c r="H17" i="2"/>
  <c r="H53" i="2"/>
  <c r="H55" i="2"/>
  <c r="D50" i="2"/>
  <c r="G41" i="2"/>
  <c r="G28" i="2"/>
  <c r="G52" i="2" s="1"/>
  <c r="H41" i="2" l="1"/>
  <c r="H42" i="2" s="1"/>
  <c r="H50" i="2" s="1"/>
  <c r="H57" i="2" s="1"/>
  <c r="H54" i="2" s="1"/>
  <c r="H28" i="2"/>
  <c r="H52" i="2" s="1"/>
  <c r="G42" i="2"/>
  <c r="J11" i="2"/>
  <c r="J20" i="2"/>
  <c r="K4" i="2"/>
  <c r="D57" i="2"/>
  <c r="D54" i="2" s="1"/>
  <c r="I55" i="2"/>
  <c r="I17" i="2"/>
  <c r="I56" i="2"/>
  <c r="I53" i="2"/>
  <c r="K11" i="2" l="1"/>
  <c r="L4" i="2"/>
  <c r="K20" i="2"/>
  <c r="J17" i="2"/>
  <c r="J56" i="2"/>
  <c r="J55" i="2"/>
  <c r="J53" i="2"/>
  <c r="G50" i="2"/>
  <c r="I41" i="2"/>
  <c r="I42" i="2" s="1"/>
  <c r="I50" i="2" s="1"/>
  <c r="I57" i="2" s="1"/>
  <c r="I54" i="2" s="1"/>
  <c r="I28" i="2"/>
  <c r="I52" i="2" s="1"/>
  <c r="J41" i="2" l="1"/>
  <c r="J42" i="2" s="1"/>
  <c r="J50" i="2" s="1"/>
  <c r="J57" i="2" s="1"/>
  <c r="J28" i="2"/>
  <c r="J52" i="2" s="1"/>
  <c r="M4" i="2"/>
  <c r="L20" i="2"/>
  <c r="L11" i="2"/>
  <c r="J54" i="2"/>
  <c r="G57" i="2"/>
  <c r="G54" i="2" s="1"/>
  <c r="K17" i="2"/>
  <c r="K53" i="2"/>
  <c r="K56" i="2"/>
  <c r="K55" i="2"/>
  <c r="L55" i="2" l="1"/>
  <c r="L56" i="2"/>
  <c r="L53" i="2"/>
  <c r="L17" i="2"/>
  <c r="N4" i="2"/>
  <c r="M20" i="2"/>
  <c r="M11" i="2"/>
  <c r="K41" i="2"/>
  <c r="K42" i="2" s="1"/>
  <c r="K50" i="2" s="1"/>
  <c r="K28" i="2"/>
  <c r="K52" i="2" s="1"/>
  <c r="N20" i="2" l="1"/>
  <c r="P20" i="2" s="1"/>
  <c r="N11" i="2"/>
  <c r="M56" i="2"/>
  <c r="M17" i="2"/>
  <c r="M55" i="2"/>
  <c r="M53" i="2"/>
  <c r="L28" i="2"/>
  <c r="L52" i="2" s="1"/>
  <c r="L41" i="2"/>
  <c r="L42" i="2" s="1"/>
  <c r="L50" i="2" s="1"/>
  <c r="L57" i="2" s="1"/>
  <c r="L54" i="2" s="1"/>
  <c r="K57" i="2"/>
  <c r="K54" i="2" s="1"/>
  <c r="M41" i="2" l="1"/>
  <c r="M42" i="2" s="1"/>
  <c r="M50" i="2" s="1"/>
  <c r="M57" i="2" s="1"/>
  <c r="M54" i="2" s="1"/>
  <c r="M28" i="2"/>
  <c r="M52" i="2" s="1"/>
  <c r="N56" i="2"/>
  <c r="N17" i="2"/>
  <c r="N55" i="2"/>
  <c r="N53" i="2"/>
  <c r="P11" i="2"/>
  <c r="N41" i="2" l="1"/>
  <c r="N28" i="2"/>
  <c r="N52" i="2" s="1"/>
  <c r="P17" i="2"/>
  <c r="P28" i="2" s="1"/>
  <c r="P52" i="2" s="1"/>
  <c r="P56" i="2"/>
  <c r="P55" i="2"/>
  <c r="P53" i="2"/>
  <c r="P41" i="2" l="1"/>
  <c r="N42" i="2"/>
  <c r="N50" i="2" l="1"/>
  <c r="P42" i="2"/>
  <c r="N57" i="2" l="1"/>
  <c r="N54" i="2" s="1"/>
  <c r="P50" i="2"/>
  <c r="P57" i="2" s="1"/>
  <c r="P5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7" authorId="0" shapeId="0" xr:uid="{00000000-0006-0000-0000-000001000000}">
      <text>
        <r>
          <rPr>
            <sz val="10"/>
            <color rgb="FF000000"/>
            <rFont val="Arial"/>
          </rPr>
          <t>Total classes coached x class rate + overhead</t>
        </r>
      </text>
    </comment>
    <comment ref="B38" authorId="0" shapeId="0" xr:uid="{00000000-0006-0000-0000-000002000000}">
      <text>
        <r>
          <rPr>
            <sz val="10"/>
            <color rgb="FF000000"/>
            <rFont val="Arial"/>
          </rPr>
          <t>4/9 of Secondary and Tertiary Revenue
assumes overhead is included in the 4/9</t>
        </r>
      </text>
    </comment>
    <comment ref="B50" authorId="0" shapeId="0" xr:uid="{00000000-0006-0000-0000-000003000000}">
      <text>
        <r>
          <rPr>
            <sz val="10"/>
            <color rgb="FF000000"/>
            <rFont val="Arial"/>
          </rPr>
          <t xml:space="preserve">Pay for coaching classes (same rate and overhead as staff)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5" authorId="0" shapeId="0" xr:uid="{00000000-0006-0000-0100-000001000000}">
      <text>
        <r>
          <rPr>
            <sz val="10"/>
            <color rgb="FF000000"/>
            <rFont val="Arial"/>
          </rPr>
          <t xml:space="preserve">2k office /facilities
8k flooring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3" authorId="0" shapeId="0" xr:uid="{00000000-0006-0000-0200-000001000000}">
      <text>
        <r>
          <rPr>
            <sz val="10"/>
            <color rgb="FF000000"/>
            <rFont val="Arial"/>
          </rPr>
          <t>Total classes coached x class rate + overhead</t>
        </r>
      </text>
    </comment>
    <comment ref="B34" authorId="0" shapeId="0" xr:uid="{00000000-0006-0000-0200-000002000000}">
      <text>
        <r>
          <rPr>
            <sz val="10"/>
            <color rgb="FF000000"/>
            <rFont val="Arial"/>
          </rPr>
          <t>4/9 of Secondary and Tertiary Revenue
assumes overhead is included in the 4/9</t>
        </r>
      </text>
    </comment>
    <comment ref="B46" authorId="0" shapeId="0" xr:uid="{00000000-0006-0000-0200-000003000000}">
      <text>
        <r>
          <rPr>
            <sz val="10"/>
            <color rgb="FF000000"/>
            <rFont val="Arial"/>
          </rPr>
          <t xml:space="preserve">Pay for coaching classes (same rate and overhead as staff)
</t>
        </r>
      </text>
    </comment>
  </commentList>
</comments>
</file>

<file path=xl/sharedStrings.xml><?xml version="1.0" encoding="utf-8"?>
<sst xmlns="http://schemas.openxmlformats.org/spreadsheetml/2006/main" count="180" uniqueCount="77">
  <si>
    <t>Revenue</t>
  </si>
  <si>
    <t>Monthly</t>
  </si>
  <si>
    <t>Annual</t>
  </si>
  <si>
    <t>Class Rate:</t>
  </si>
  <si>
    <t>Net Paying # Members</t>
  </si>
  <si>
    <t xml:space="preserve"># classes / week: </t>
  </si>
  <si>
    <t>Avg Membership Price</t>
  </si>
  <si>
    <t>Staff Overhead</t>
  </si>
  <si>
    <t>&lt;== workers comp, healthcare, employment taxes</t>
  </si>
  <si>
    <t>Retention Rate</t>
  </si>
  <si>
    <t># New</t>
  </si>
  <si>
    <t>Avg RampUp Monthly Price</t>
  </si>
  <si>
    <t>Secondary Revenue</t>
  </si>
  <si>
    <t>Tertiary Revenue</t>
  </si>
  <si>
    <t>Specialty Event</t>
  </si>
  <si>
    <t>Total Revenue</t>
  </si>
  <si>
    <t>ARM</t>
  </si>
  <si>
    <t>Recurring Expense</t>
  </si>
  <si>
    <t>Affiliation</t>
  </si>
  <si>
    <t>Cleaning</t>
  </si>
  <si>
    <t>Events</t>
  </si>
  <si>
    <t>Insurance</t>
  </si>
  <si>
    <t>Loan Repayment for Buildout</t>
  </si>
  <si>
    <t>Marketing / Advertising</t>
  </si>
  <si>
    <t>Meals / Entertainment</t>
  </si>
  <si>
    <t>Member Retention ($4 / month)</t>
  </si>
  <si>
    <t>Merchant Fees (2.5%)</t>
  </si>
  <si>
    <t>Office Supplies / Facilities</t>
  </si>
  <si>
    <t>Pro-Shop Restock</t>
  </si>
  <si>
    <t>Rent</t>
  </si>
  <si>
    <t>Software (web, gym management)</t>
  </si>
  <si>
    <t>Training / Education</t>
  </si>
  <si>
    <t>Utilities</t>
  </si>
  <si>
    <t>Total Recurring Expense</t>
  </si>
  <si>
    <t>Avg Expense for gyms with 125-175 members is $11k</t>
  </si>
  <si>
    <t>Staff Pay</t>
  </si>
  <si>
    <t>General Manager</t>
  </si>
  <si>
    <t>Coach - Classes</t>
  </si>
  <si>
    <t>Coach - Other</t>
  </si>
  <si>
    <t>CSM / Admin / Social Media, etc</t>
  </si>
  <si>
    <t>Total Staff Pay</t>
  </si>
  <si>
    <t>One time expense</t>
  </si>
  <si>
    <t>Gym Equipment</t>
  </si>
  <si>
    <t>Total Non-Owner Costs</t>
  </si>
  <si>
    <t>Total Net Income (excl Owner Pay)</t>
  </si>
  <si>
    <t>Net Owner Benefit</t>
  </si>
  <si>
    <t>Owner Coaching (Classes)</t>
  </si>
  <si>
    <t>Owner Coaching - Salary</t>
  </si>
  <si>
    <t>Salary</t>
  </si>
  <si>
    <t>Dividends</t>
  </si>
  <si>
    <t>Other Expenses</t>
  </si>
  <si>
    <t>Total Owner Pay</t>
  </si>
  <si>
    <t>Net Income (after Owner Pay)</t>
  </si>
  <si>
    <t>Operating Profit</t>
  </si>
  <si>
    <t xml:space="preserve">   Owner Pay</t>
  </si>
  <si>
    <t xml:space="preserve">   One-time expense</t>
  </si>
  <si>
    <t xml:space="preserve">   Net Income (after owner pay)</t>
  </si>
  <si>
    <t>Startup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</si>
  <si>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</si>
  <si>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</si>
  <si>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</si>
  <si>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</si>
  <si>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</si>
  <si>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</si>
  <si>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</si>
  <si>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</si>
  <si>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</si>
  <si>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</si>
  <si>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</si>
  <si>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</si>
  <si>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1st Year</t>
  </si>
  <si>
    <t>Specialty Recurring Rev</t>
  </si>
  <si>
    <t>$20k @ 5%</t>
  </si>
  <si>
    <t>Training</t>
  </si>
  <si>
    <t>Coach</t>
  </si>
  <si>
    <t>CSM</t>
  </si>
  <si>
    <t>Total Net Income (incl Owner Pay)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</si>
</sst>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0"/>
      <color rgb="FF000000"/>
      <name val="Arial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Arial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164" fontId="2" fillId="2" borderId="0" xfId="0" applyNumberFormat="1" applyFont="1" applyFill="1" applyAlignment="1"/>
    <xf numFmtId="0" fontId="2" fillId="0" borderId="0" xfId="0" applyFont="1"/>
    <xf numFmtId="0" fontId="2" fillId="0" borderId="0" xfId="0" applyFont="1" applyAlignment="1"/>
    <xf numFmtId="0" fontId="2" fillId="2" borderId="0" xfId="0" applyFont="1" applyFill="1" applyAlignment="1"/>
    <xf numFmtId="9" fontId="2" fillId="2" borderId="0" xfId="0" applyNumberFormat="1" applyFont="1" applyFill="1" applyAlignment="1"/>
    <xf numFmtId="9" fontId="2" fillId="3" borderId="0" xfId="0" applyNumberFormat="1" applyFont="1" applyFill="1" applyAlignment="1"/>
    <xf numFmtId="0" fontId="2" fillId="3" borderId="0" xfId="0" applyFont="1" applyFill="1" applyAlignment="1"/>
    <xf numFmtId="164" fontId="2" fillId="0" borderId="0" xfId="0" applyNumberFormat="1" applyFont="1"/>
    <xf numFmtId="9" fontId="2" fillId="0" borderId="0" xfId="0" applyNumberFormat="1" applyFont="1"/>
    <xf numFmtId="164" fontId="2" fillId="0" borderId="0" xfId="0" applyNumberFormat="1" applyFont="1" applyAlignment="1"/>
    <xf numFmtId="0" fontId="2" fillId="0" borderId="1" xfId="0" applyFont="1" applyBorder="1" applyAlignment="1"/>
    <xf numFmtId="164" fontId="2" fillId="2" borderId="1" xfId="0" applyNumberFormat="1" applyFont="1" applyFill="1" applyBorder="1" applyAlignment="1"/>
    <xf numFmtId="0" fontId="1" fillId="0" borderId="0" xfId="0" applyFont="1"/>
    <xf numFmtId="3" fontId="2" fillId="2" borderId="0" xfId="0" applyNumberFormat="1" applyFont="1" applyFill="1" applyAlignment="1"/>
    <xf numFmtId="164" fontId="2" fillId="0" borderId="1" xfId="0" applyNumberFormat="1" applyFont="1" applyBorder="1" applyAlignment="1"/>
    <xf numFmtId="0" fontId="2" fillId="4" borderId="0" xfId="0" applyFont="1" applyFill="1" applyAlignment="1"/>
    <xf numFmtId="9" fontId="2" fillId="4" borderId="0" xfId="0" applyNumberFormat="1" applyFont="1" applyFill="1"/>
    <xf numFmtId="0" fontId="3" fillId="4" borderId="0" xfId="0" applyFont="1" applyFill="1"/>
    <xf numFmtId="0" fontId="2" fillId="4" borderId="0" xfId="0" applyFont="1" applyFill="1"/>
    <xf numFmtId="0" fontId="0" fillId="0" borderId="0" xfId="0" applyFont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/>
    <xf numFmtId="0" fontId="2" fillId="5" borderId="2" xfId="0" applyFont="1" applyFill="1" applyBorder="1"/>
    <xf numFmtId="0" fontId="1" fillId="0" borderId="2" xfId="0" applyFont="1" applyBorder="1" applyAlignment="1"/>
    <xf numFmtId="0" fontId="2" fillId="0" borderId="2" xfId="0" applyFont="1" applyBorder="1" applyAlignment="1"/>
    <xf numFmtId="0" fontId="2" fillId="5" borderId="2" xfId="0" applyFont="1" applyFill="1" applyBorder="1" applyAlignment="1"/>
    <xf numFmtId="164" fontId="2" fillId="0" borderId="2" xfId="0" applyNumberFormat="1" applyFont="1" applyBorder="1" applyAlignment="1"/>
    <xf numFmtId="164" fontId="2" fillId="5" borderId="2" xfId="0" applyNumberFormat="1" applyFont="1" applyFill="1" applyBorder="1" applyAlignment="1"/>
    <xf numFmtId="9" fontId="2" fillId="0" borderId="2" xfId="0" applyNumberFormat="1" applyFont="1" applyBorder="1" applyAlignment="1"/>
    <xf numFmtId="9" fontId="2" fillId="5" borderId="2" xfId="0" applyNumberFormat="1" applyFont="1" applyFill="1" applyBorder="1" applyAlignment="1"/>
    <xf numFmtId="164" fontId="2" fillId="5" borderId="2" xfId="0" applyNumberFormat="1" applyFont="1" applyFill="1" applyBorder="1"/>
    <xf numFmtId="164" fontId="2" fillId="0" borderId="2" xfId="0" applyNumberFormat="1" applyFont="1" applyBorder="1"/>
    <xf numFmtId="0" fontId="0" fillId="0" borderId="2" xfId="0" applyFont="1" applyBorder="1" applyAlignment="1"/>
    <xf numFmtId="0" fontId="0" fillId="5" borderId="2" xfId="0" applyFont="1" applyFill="1" applyBorder="1" applyAlignment="1"/>
    <xf numFmtId="9" fontId="2" fillId="0" borderId="2" xfId="0" applyNumberFormat="1" applyFont="1" applyBorder="1"/>
    <xf numFmtId="9" fontId="2" fillId="5" borderId="2" xfId="0" applyNumberFormat="1" applyFont="1" applyFill="1" applyBorder="1"/>
    <xf numFmtId="0" fontId="2" fillId="4" borderId="2" xfId="0" applyFont="1" applyFill="1" applyBorder="1" applyAlignment="1"/>
    <xf numFmtId="9" fontId="2" fillId="4" borderId="2" xfId="0" applyNumberFormat="1" applyFont="1" applyFill="1" applyBorder="1"/>
    <xf numFmtId="0" fontId="3" fillId="4" borderId="2" xfId="0" applyFont="1" applyFill="1" applyBorder="1"/>
    <xf numFmtId="0" fontId="2" fillId="4" borderId="2" xfId="0" applyFont="1" applyFill="1" applyBorder="1"/>
    <xf numFmtId="0" fontId="5" fillId="0" borderId="2" xfId="0" applyFont="1" applyBorder="1" applyAlignment="1"/>
    <xf numFmtId="0" fontId="5" fillId="5" borderId="2" xfId="0" applyFont="1" applyFill="1" applyBorder="1" applyAlignment="1"/>
  </cellXfs>
  <cellStyles count="1">
    <cellStyle name="Normal" xfId="0" builtinId="0"/>
  </cellStyles>
  <dxfs count="3"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85539</xdr:rowOff>
    </xdr:from>
    <xdr:to>
      <xdr:col>1</xdr:col>
      <xdr:colOff>314325</xdr:colOff>
      <xdr:row>3</xdr:row>
      <xdr:rowOff>68071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84C73D-7911-4BDE-B3EC-655A4510B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539"/>
          <a:ext cx="2085975" cy="582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9</xdr:row>
      <xdr:rowOff>85725</xdr:rowOff>
    </xdr:from>
    <xdr:ext cx="3752850" cy="25622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30"/>
  <sheetViews>
    <sheetView tabSelected="1" workbookViewId="0">
      <selection activeCell="I36" sqref="I36"/>
    </sheetView>
  </sheetViews>
  <sheetFormatPr defaultColWidth="14.42578125" defaultRowHeight="15.75" customHeight="1" x14ac:dyDescent="0.2"/>
  <cols>
    <col min="1" max="1" width="28" customWidth="1"/>
    <col min="2" max="2" width="9.85546875" customWidth="1"/>
    <col min="3" max="3" width="8.42578125" customWidth="1"/>
    <col min="4" max="4" width="5.42578125" customWidth="1"/>
    <col min="6" max="6" width="5.28515625" customWidth="1"/>
    <col min="7" max="7" width="7.28515625" customWidth="1"/>
  </cols>
  <sheetData>
    <row r="1" spans="1:15" ht="15.75" customHeight="1" x14ac:dyDescent="0.2">
      <c r="A1" s="22"/>
      <c r="B1" s="22"/>
      <c r="C1" s="22"/>
      <c r="D1" s="22"/>
      <c r="E1" s="22"/>
      <c r="F1" s="22"/>
      <c r="G1" s="22"/>
      <c r="H1" s="22"/>
      <c r="I1" s="22"/>
    </row>
    <row r="2" spans="1:15" ht="15.75" customHeigh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15" ht="15.75" customHeight="1" x14ac:dyDescent="0.2">
      <c r="A3" s="22"/>
      <c r="B3" s="22"/>
      <c r="C3" s="22"/>
      <c r="D3" s="22"/>
      <c r="E3" s="22"/>
      <c r="F3" s="22"/>
      <c r="G3" s="22"/>
      <c r="H3" s="22"/>
      <c r="I3" s="22"/>
    </row>
    <row r="4" spans="1:15" ht="15.75" customHeight="1" x14ac:dyDescent="0.2">
      <c r="A4" s="22"/>
      <c r="B4" s="22"/>
      <c r="C4" s="22"/>
      <c r="D4" s="22"/>
      <c r="E4" s="22"/>
      <c r="F4" s="22"/>
      <c r="G4" s="22"/>
      <c r="H4" s="22"/>
      <c r="I4" s="22"/>
    </row>
    <row r="5" spans="1:15" ht="12.75" x14ac:dyDescent="0.2">
      <c r="A5" s="1" t="s">
        <v>0</v>
      </c>
      <c r="B5" s="2" t="s">
        <v>1</v>
      </c>
      <c r="C5" s="2" t="s">
        <v>2</v>
      </c>
      <c r="D5" s="1"/>
      <c r="E5" s="1" t="s">
        <v>3</v>
      </c>
      <c r="F5" s="3">
        <v>30</v>
      </c>
      <c r="G5" s="4"/>
      <c r="H5" s="4"/>
      <c r="I5" s="4"/>
      <c r="J5" s="4"/>
      <c r="K5" s="4"/>
      <c r="L5" s="4"/>
      <c r="M5" s="4"/>
      <c r="N5" s="4"/>
      <c r="O5" s="4"/>
    </row>
    <row r="6" spans="1:15" ht="12.75" x14ac:dyDescent="0.2">
      <c r="A6" s="5" t="s">
        <v>4</v>
      </c>
      <c r="B6" s="6">
        <v>150</v>
      </c>
      <c r="C6" s="4"/>
      <c r="D6" s="1"/>
      <c r="E6" s="1" t="s">
        <v>5</v>
      </c>
      <c r="F6" s="6">
        <v>50</v>
      </c>
      <c r="G6" s="4"/>
      <c r="H6" s="4"/>
      <c r="I6" s="4"/>
      <c r="J6" s="4"/>
      <c r="K6" s="4"/>
      <c r="L6" s="4"/>
      <c r="M6" s="4"/>
      <c r="N6" s="4"/>
      <c r="O6" s="4"/>
    </row>
    <row r="7" spans="1:15" ht="12.75" x14ac:dyDescent="0.2">
      <c r="A7" s="5" t="s">
        <v>6</v>
      </c>
      <c r="B7" s="3">
        <v>150</v>
      </c>
      <c r="C7" s="4"/>
      <c r="D7" s="1"/>
      <c r="E7" s="1" t="s">
        <v>7</v>
      </c>
      <c r="F7" s="7">
        <v>0.25</v>
      </c>
      <c r="G7" s="5" t="s">
        <v>8</v>
      </c>
      <c r="H7" s="4"/>
      <c r="I7" s="4"/>
      <c r="J7" s="4"/>
      <c r="K7" s="4"/>
      <c r="L7" s="4"/>
      <c r="M7" s="4"/>
      <c r="N7" s="4"/>
      <c r="O7" s="4"/>
    </row>
    <row r="8" spans="1:15" ht="12.75" x14ac:dyDescent="0.2">
      <c r="A8" s="5" t="s">
        <v>9</v>
      </c>
      <c r="B8" s="8">
        <v>0.95</v>
      </c>
      <c r="C8" s="4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 x14ac:dyDescent="0.2">
      <c r="A9" s="5" t="s">
        <v>10</v>
      </c>
      <c r="B9" s="9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 x14ac:dyDescent="0.2">
      <c r="A10" s="5" t="s">
        <v>11</v>
      </c>
      <c r="B10" s="3">
        <v>300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x14ac:dyDescent="0.2">
      <c r="A11" s="5" t="s">
        <v>12</v>
      </c>
      <c r="B11" s="10">
        <f>B6*B7*2/7</f>
        <v>6428.5714285714284</v>
      </c>
      <c r="D11" s="11" t="str">
        <f>TEXT(B11/B14*100,"0")&amp;"% of total Revenue"</f>
        <v>21% of total Revenue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 x14ac:dyDescent="0.2">
      <c r="A12" s="5" t="s">
        <v>13</v>
      </c>
      <c r="B12" s="12">
        <f>B6*B7/7</f>
        <v>3214.2857142857142</v>
      </c>
      <c r="D12" s="11" t="str">
        <f>TEXT(B12/B14*100,"0")&amp;"% of total Revenue"</f>
        <v>10% of total Revenue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 x14ac:dyDescent="0.2">
      <c r="A13" s="13" t="s">
        <v>14</v>
      </c>
      <c r="B13" s="14">
        <v>250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 x14ac:dyDescent="0.2">
      <c r="A14" s="1" t="s">
        <v>15</v>
      </c>
      <c r="B14" s="10">
        <f>B6*B7+B9*B10+B11+B13</f>
        <v>30678.571428571428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 x14ac:dyDescent="0.2">
      <c r="A15" s="1" t="s">
        <v>16</v>
      </c>
      <c r="B15" s="10">
        <f>B14/B6</f>
        <v>204.52380952380952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 x14ac:dyDescent="0.2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 x14ac:dyDescent="0.2">
      <c r="A17" s="1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 hidden="1" x14ac:dyDescent="0.2">
      <c r="A18" s="5" t="s">
        <v>18</v>
      </c>
      <c r="B18" s="3">
        <v>250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 hidden="1" x14ac:dyDescent="0.2">
      <c r="A19" s="5" t="s">
        <v>19</v>
      </c>
      <c r="B19" s="3">
        <v>300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 hidden="1" x14ac:dyDescent="0.2">
      <c r="A20" s="5" t="s">
        <v>20</v>
      </c>
      <c r="B20" s="3">
        <v>150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 hidden="1" x14ac:dyDescent="0.2">
      <c r="A21" s="5" t="s">
        <v>21</v>
      </c>
      <c r="B21" s="3">
        <v>200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 hidden="1" x14ac:dyDescent="0.2">
      <c r="A22" s="5" t="s">
        <v>22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 hidden="1" x14ac:dyDescent="0.2">
      <c r="A23" s="5" t="s">
        <v>23</v>
      </c>
      <c r="B23" s="3">
        <v>1000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 hidden="1" x14ac:dyDescent="0.2">
      <c r="A24" s="5" t="s">
        <v>24</v>
      </c>
      <c r="B24" s="3">
        <v>100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 hidden="1" x14ac:dyDescent="0.2">
      <c r="A25" s="5" t="s">
        <v>25</v>
      </c>
      <c r="B25" s="3">
        <f>B7*4</f>
        <v>600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 hidden="1" x14ac:dyDescent="0.2">
      <c r="A26" s="5" t="s">
        <v>26</v>
      </c>
      <c r="B26" s="3">
        <f>B14*0.025</f>
        <v>766.96428571428578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 hidden="1" x14ac:dyDescent="0.2">
      <c r="A27" s="5" t="s">
        <v>27</v>
      </c>
      <c r="B27" s="3">
        <v>500</v>
      </c>
      <c r="C27" s="1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 hidden="1" x14ac:dyDescent="0.2">
      <c r="A28" s="5" t="s">
        <v>28</v>
      </c>
      <c r="B28" s="3">
        <v>250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 hidden="1" x14ac:dyDescent="0.2">
      <c r="A29" s="5" t="s">
        <v>29</v>
      </c>
      <c r="B29" s="3">
        <v>5000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 hidden="1" x14ac:dyDescent="0.2">
      <c r="A30" s="5" t="s">
        <v>30</v>
      </c>
      <c r="B30" s="3">
        <v>700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 hidden="1" x14ac:dyDescent="0.2">
      <c r="A31" s="5" t="s">
        <v>31</v>
      </c>
      <c r="B31" s="3">
        <v>500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 hidden="1" x14ac:dyDescent="0.2">
      <c r="A32" s="13" t="s">
        <v>32</v>
      </c>
      <c r="B32" s="14">
        <v>600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 x14ac:dyDescent="0.2">
      <c r="A33" s="1" t="s">
        <v>33</v>
      </c>
      <c r="B33" s="10">
        <f>SUM(B18:B32)</f>
        <v>10916.964285714286</v>
      </c>
      <c r="C33" s="4"/>
      <c r="D33" s="5" t="s">
        <v>34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 x14ac:dyDescent="0.2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x14ac:dyDescent="0.2">
      <c r="A35" s="1" t="s">
        <v>35</v>
      </c>
      <c r="B35" s="4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x14ac:dyDescent="0.2">
      <c r="A36" s="5" t="s">
        <v>36</v>
      </c>
      <c r="B36" s="3"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x14ac:dyDescent="0.2">
      <c r="A37" s="5" t="s">
        <v>37</v>
      </c>
      <c r="B37" s="12">
        <f>($F$6-B49)*$F$5*(1+$F$7)*4.333</f>
        <v>5362.0875000000005</v>
      </c>
      <c r="C37" s="12">
        <f t="shared" ref="C37:C40" si="0">B37 * 12</f>
        <v>64345.05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x14ac:dyDescent="0.2">
      <c r="A38" s="5" t="s">
        <v>38</v>
      </c>
      <c r="B38" s="12">
        <f>B11*0.44+(B10*B9*0.44)</f>
        <v>3488.5714285714284</v>
      </c>
      <c r="C38" s="12">
        <f t="shared" si="0"/>
        <v>41862.857142857145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x14ac:dyDescent="0.2">
      <c r="A39" s="13" t="s">
        <v>39</v>
      </c>
      <c r="B39" s="14">
        <v>2000</v>
      </c>
      <c r="C39" s="12">
        <f t="shared" si="0"/>
        <v>24000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x14ac:dyDescent="0.2">
      <c r="A40" s="1" t="s">
        <v>40</v>
      </c>
      <c r="B40" s="12">
        <f>SUM(B36:B39)</f>
        <v>10850.658928571429</v>
      </c>
      <c r="C40" s="12">
        <f t="shared" si="0"/>
        <v>130207.90714285715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x14ac:dyDescent="0.2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x14ac:dyDescent="0.2">
      <c r="A42" s="1" t="s">
        <v>41</v>
      </c>
      <c r="B42" s="12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x14ac:dyDescent="0.2">
      <c r="A43" s="5" t="s">
        <v>42</v>
      </c>
      <c r="B43" s="3">
        <v>250</v>
      </c>
      <c r="C43" s="12">
        <f>B43 * 12</f>
        <v>3000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x14ac:dyDescent="0.2">
      <c r="A44" s="1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x14ac:dyDescent="0.2">
      <c r="A45" s="1" t="s">
        <v>43</v>
      </c>
      <c r="B45" s="12">
        <f>B43+B40+B33</f>
        <v>22017.623214285715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x14ac:dyDescent="0.2">
      <c r="A46" s="1" t="s">
        <v>44</v>
      </c>
      <c r="B46" s="12">
        <f>B14-B45</f>
        <v>8660.9482142857123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x14ac:dyDescent="0.2">
      <c r="A47" s="1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x14ac:dyDescent="0.2">
      <c r="A48" s="1" t="s">
        <v>45</v>
      </c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x14ac:dyDescent="0.2">
      <c r="A49" s="5" t="s">
        <v>46</v>
      </c>
      <c r="B49" s="16">
        <v>17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x14ac:dyDescent="0.2">
      <c r="A50" s="5" t="s">
        <v>47</v>
      </c>
      <c r="B50" s="12">
        <f>B49*$F$5*(1+$F$7)*4.333</f>
        <v>2762.2874999999999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x14ac:dyDescent="0.2">
      <c r="A51" s="5" t="s">
        <v>48</v>
      </c>
      <c r="B51" s="3">
        <v>5500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x14ac:dyDescent="0.2">
      <c r="A52" s="5" t="s">
        <v>49</v>
      </c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x14ac:dyDescent="0.2">
      <c r="A53" s="13" t="s">
        <v>50</v>
      </c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x14ac:dyDescent="0.2">
      <c r="A54" s="1" t="s">
        <v>51</v>
      </c>
      <c r="B54" s="12">
        <f>SUM(B50:B53)</f>
        <v>8262.2875000000004</v>
      </c>
      <c r="C54" s="12">
        <f>B54 * 12</f>
        <v>99147.450000000012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x14ac:dyDescent="0.2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x14ac:dyDescent="0.2">
      <c r="A56" s="1" t="s">
        <v>52</v>
      </c>
      <c r="B56" s="10">
        <f>B46-B54</f>
        <v>398.66071428571195</v>
      </c>
      <c r="C56" s="12">
        <f>B56 * 12</f>
        <v>4783.9285714285434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x14ac:dyDescent="0.2">
      <c r="A57" s="4"/>
      <c r="B57" s="4"/>
      <c r="C57" s="4"/>
    </row>
    <row r="58" spans="1:15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x14ac:dyDescent="0.2">
      <c r="A59" s="1" t="s">
        <v>17</v>
      </c>
      <c r="B59" s="11">
        <f>B33/B$14</f>
        <v>0.35584982537834692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x14ac:dyDescent="0.2">
      <c r="A60" s="1" t="s">
        <v>35</v>
      </c>
      <c r="B60" s="11">
        <f>B40/B$14</f>
        <v>0.35368853317811411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x14ac:dyDescent="0.2">
      <c r="A61" s="1" t="s">
        <v>53</v>
      </c>
      <c r="B61" s="11">
        <f>SUM(B62:B64)</f>
        <v>0.29046164144353898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x14ac:dyDescent="0.2">
      <c r="A62" s="18" t="s">
        <v>54</v>
      </c>
      <c r="B62" s="19">
        <f>B54/B$14</f>
        <v>0.26931786961583237</v>
      </c>
      <c r="C62" s="2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x14ac:dyDescent="0.2">
      <c r="A63" s="18" t="s">
        <v>55</v>
      </c>
      <c r="B63" s="19">
        <f>B43/B$14</f>
        <v>8.1490104772991862E-3</v>
      </c>
      <c r="C63" s="2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x14ac:dyDescent="0.2">
      <c r="A64" s="18" t="s">
        <v>56</v>
      </c>
      <c r="B64" s="19">
        <f>B56/B$14</f>
        <v>1.2994761350407375E-2</v>
      </c>
      <c r="C64" s="21"/>
    </row>
    <row r="65" spans="1:15" ht="12.75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.7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.7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.7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.7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.7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.7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.7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.7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.7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.7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.7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.7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.7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.7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.7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.7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.7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.7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.7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.7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.7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.7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.7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.7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.7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.7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.7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.7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.7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.7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.7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.7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.7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.7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.7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.7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.7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.7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.7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.7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.7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.7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.7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.7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.7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.7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.7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.7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.7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.7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.7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.7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.7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.7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.7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.7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.7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.7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.7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.7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.7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.7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.7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.7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.7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.7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.7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.7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.7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.7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.7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.7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.7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.7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.7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.7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.7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.7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.7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.7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.7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.7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.7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.7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.7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.7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.7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.7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.7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.7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.7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.7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.7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.7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.7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.7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.7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.7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.7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.7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.7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.7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.7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.7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.7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.7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.7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.7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.7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.7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.7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.7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.7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.7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.7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.7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.7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.7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.7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.7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.7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.7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.7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.7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.7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.7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.7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.7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.7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.7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.7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.7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.7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.7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.7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.7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.7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.7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.7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.7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.7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.7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.7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.7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.7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.7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.7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.7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.7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.7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.7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.7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.7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.7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.7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.7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.7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.7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.7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.7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.7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.7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.7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.7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.7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.7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.7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.7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.7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.7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.7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.7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.7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.7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.7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.7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.7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.7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.7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.7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.7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.7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.7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2.7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2.7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2.7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2.7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2.7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2.7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2.7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2.7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2.7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2.7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2.7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2.7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2.7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2.7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2.7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2.7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2.7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2.7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2.7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2.7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2.7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2.7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2.7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2.7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2.7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2.7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2.7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2.7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2.7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2.7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2.7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2.7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2.7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2.7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2.7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2.7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2.7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2.7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2.7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2.7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2.7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2.7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2.7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2.7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2.7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2.7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2.7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2.7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2.7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2.7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2.7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2.7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2.7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2.7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2.7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2.7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2.7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2.7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2.7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2.7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2.7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2.7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2.7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2.7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2.7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2.7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2.7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2.7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2.7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2.7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2.7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2.7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.7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.7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.7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2.7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2.7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2.7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2.7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2.7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2.7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2.7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2.7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2.7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2.7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2.7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2.7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2.7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2.7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2.7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2.7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2.7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2.7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2.7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2.7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2.7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2.7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2.7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2.7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2.7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2.7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2.7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2.7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2.7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2.7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2.7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2.7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2.7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2.7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2.7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2.7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2.7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2.7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2.7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2.7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2.7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2.7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2.7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2.7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2.7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2.7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2.7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2.7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2.7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2.7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2.7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2.7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2.7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2.7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2.7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2.7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2.7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2.7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2.7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2.7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2.7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2.7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2.7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2.7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2.7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2.7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2.7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2.7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2.7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2.7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2.7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2.7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2.7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2.7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2.7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2.7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2.7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2.7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2.7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2.7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2.7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2.7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2.7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2.7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2.7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2.7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2.7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2.7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2.7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2.7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2.7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2.7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2.7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2.7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2.7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2.7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2.7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2.7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2.7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2.75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2.75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2.75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2.75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2.75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2.75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2.75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2.75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2.75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2.75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2.75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2.75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2.75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2.75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2.75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2.75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2.75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2.7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2.7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2.75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2.75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2.75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12.75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12.75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12.75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12.75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12.75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12.75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12.75" x14ac:dyDescent="0.2"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12.75" x14ac:dyDescent="0.2"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</sheetData>
  <mergeCells count="1">
    <mergeCell ref="A1:I4"/>
  </mergeCells>
  <conditionalFormatting sqref="B5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021"/>
  <sheetViews>
    <sheetView topLeftCell="A43" workbookViewId="0">
      <selection activeCell="A7" sqref="A7"/>
    </sheetView>
  </sheetViews>
  <sheetFormatPr defaultColWidth="14.42578125" defaultRowHeight="15.75" customHeight="1" x14ac:dyDescent="0.2"/>
  <cols>
    <col min="1" max="1" width="28" customWidth="1"/>
    <col min="2" max="2" width="10" customWidth="1"/>
    <col min="3" max="14" width="9.85546875" customWidth="1"/>
    <col min="15" max="15" width="2.42578125" customWidth="1"/>
    <col min="16" max="16" width="11.5703125" customWidth="1"/>
  </cols>
  <sheetData>
    <row r="1" spans="1:28" ht="15.75" customHeight="1" x14ac:dyDescent="0.25">
      <c r="A1" s="23"/>
      <c r="B1" s="43" t="s">
        <v>57</v>
      </c>
      <c r="C1" s="44" t="s">
        <v>58</v>
      </c>
      <c r="D1" s="43" t="s">
        <v>59</v>
      </c>
      <c r="E1" s="44" t="s">
        <v>60</v>
      </c>
      <c r="F1" s="43" t="s">
        <v>61</v>
      </c>
      <c r="G1" s="44" t="s">
        <v>62</v>
      </c>
      <c r="H1" s="43" t="s">
        <v>63</v>
      </c>
      <c r="I1" s="44" t="s">
        <v>64</v>
      </c>
      <c r="J1" s="43" t="s">
        <v>65</v>
      </c>
      <c r="K1" s="44" t="s">
        <v>66</v>
      </c>
      <c r="L1" s="43" t="s">
        <v>67</v>
      </c>
      <c r="M1" s="44" t="s">
        <v>68</v>
      </c>
      <c r="N1" s="43" t="s">
        <v>69</v>
      </c>
      <c r="O1" s="43"/>
      <c r="P1" s="44" t="s">
        <v>70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x14ac:dyDescent="0.2">
      <c r="A2" s="23"/>
      <c r="B2" s="23"/>
      <c r="C2" s="25"/>
      <c r="D2" s="23"/>
      <c r="E2" s="25"/>
      <c r="F2" s="23"/>
      <c r="G2" s="25"/>
      <c r="H2" s="23"/>
      <c r="I2" s="25"/>
      <c r="J2" s="23"/>
      <c r="K2" s="25"/>
      <c r="L2" s="23"/>
      <c r="M2" s="25"/>
      <c r="N2" s="23"/>
      <c r="O2" s="23"/>
      <c r="P2" s="2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25">
      <c r="A3" s="24" t="s">
        <v>0</v>
      </c>
      <c r="B3" s="23"/>
      <c r="C3" s="25"/>
      <c r="D3" s="23"/>
      <c r="E3" s="25"/>
      <c r="F3" s="23"/>
      <c r="G3" s="25"/>
      <c r="H3" s="23"/>
      <c r="I3" s="25"/>
      <c r="J3" s="23"/>
      <c r="K3" s="25"/>
      <c r="L3" s="23"/>
      <c r="M3" s="25"/>
      <c r="N3" s="23"/>
      <c r="O3" s="23"/>
      <c r="P3" s="2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2">
      <c r="A4" s="27" t="s">
        <v>4</v>
      </c>
      <c r="B4" s="27"/>
      <c r="C4" s="28">
        <v>0</v>
      </c>
      <c r="D4" s="27">
        <f t="shared" ref="D4:N4" si="0">ROUND(C6*C4,0)+C7</f>
        <v>20</v>
      </c>
      <c r="E4" s="28">
        <f t="shared" si="0"/>
        <v>25</v>
      </c>
      <c r="F4" s="27">
        <f t="shared" si="0"/>
        <v>30</v>
      </c>
      <c r="G4" s="28">
        <f t="shared" si="0"/>
        <v>34</v>
      </c>
      <c r="H4" s="27">
        <f t="shared" si="0"/>
        <v>38</v>
      </c>
      <c r="I4" s="28">
        <f t="shared" si="0"/>
        <v>42</v>
      </c>
      <c r="J4" s="27">
        <f t="shared" si="0"/>
        <v>46</v>
      </c>
      <c r="K4" s="28">
        <f t="shared" si="0"/>
        <v>49</v>
      </c>
      <c r="L4" s="27">
        <f t="shared" si="0"/>
        <v>52</v>
      </c>
      <c r="M4" s="28">
        <f t="shared" si="0"/>
        <v>54</v>
      </c>
      <c r="N4" s="27">
        <f t="shared" si="0"/>
        <v>56</v>
      </c>
      <c r="O4" s="23"/>
      <c r="P4" s="25"/>
      <c r="Q4" s="4"/>
      <c r="R4" s="5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x14ac:dyDescent="0.2">
      <c r="A5" s="27" t="s">
        <v>6</v>
      </c>
      <c r="B5" s="29"/>
      <c r="C5" s="30">
        <v>200</v>
      </c>
      <c r="D5" s="29">
        <v>200</v>
      </c>
      <c r="E5" s="30">
        <v>200</v>
      </c>
      <c r="F5" s="29">
        <v>200</v>
      </c>
      <c r="G5" s="30">
        <v>200</v>
      </c>
      <c r="H5" s="29">
        <v>200</v>
      </c>
      <c r="I5" s="30">
        <v>200</v>
      </c>
      <c r="J5" s="29">
        <v>200</v>
      </c>
      <c r="K5" s="30">
        <v>200</v>
      </c>
      <c r="L5" s="29">
        <v>200</v>
      </c>
      <c r="M5" s="30">
        <v>200</v>
      </c>
      <c r="N5" s="29">
        <v>200</v>
      </c>
      <c r="O5" s="23"/>
      <c r="P5" s="2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">
      <c r="A6" s="27" t="s">
        <v>9</v>
      </c>
      <c r="B6" s="31"/>
      <c r="C6" s="32">
        <v>1</v>
      </c>
      <c r="D6" s="31">
        <v>1</v>
      </c>
      <c r="E6" s="32">
        <v>1</v>
      </c>
      <c r="F6" s="31">
        <v>0.98</v>
      </c>
      <c r="G6" s="32">
        <v>0.98</v>
      </c>
      <c r="H6" s="31">
        <v>0.98</v>
      </c>
      <c r="I6" s="32">
        <v>0.98</v>
      </c>
      <c r="J6" s="31">
        <v>0.95</v>
      </c>
      <c r="K6" s="32">
        <v>0.95</v>
      </c>
      <c r="L6" s="31">
        <v>0.95</v>
      </c>
      <c r="M6" s="32">
        <v>0.95</v>
      </c>
      <c r="N6" s="31">
        <v>0.95</v>
      </c>
      <c r="O6" s="23"/>
      <c r="P6" s="2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">
      <c r="A7" s="27" t="s">
        <v>10</v>
      </c>
      <c r="B7" s="27"/>
      <c r="C7" s="28">
        <v>20</v>
      </c>
      <c r="D7" s="27">
        <v>5</v>
      </c>
      <c r="E7" s="28">
        <v>5</v>
      </c>
      <c r="F7" s="27">
        <v>5</v>
      </c>
      <c r="G7" s="28">
        <v>5</v>
      </c>
      <c r="H7" s="27">
        <v>5</v>
      </c>
      <c r="I7" s="28">
        <v>5</v>
      </c>
      <c r="J7" s="27">
        <v>5</v>
      </c>
      <c r="K7" s="28">
        <v>5</v>
      </c>
      <c r="L7" s="27">
        <v>5</v>
      </c>
      <c r="M7" s="28">
        <v>5</v>
      </c>
      <c r="N7" s="27">
        <v>5</v>
      </c>
      <c r="O7" s="23"/>
      <c r="P7" s="2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2">
      <c r="A8" s="27" t="s">
        <v>11</v>
      </c>
      <c r="B8" s="29"/>
      <c r="C8" s="30">
        <v>300</v>
      </c>
      <c r="D8" s="29">
        <v>300</v>
      </c>
      <c r="E8" s="30">
        <v>300</v>
      </c>
      <c r="F8" s="29">
        <v>300</v>
      </c>
      <c r="G8" s="30">
        <v>300</v>
      </c>
      <c r="H8" s="29">
        <v>300</v>
      </c>
      <c r="I8" s="30">
        <v>300</v>
      </c>
      <c r="J8" s="29">
        <v>300</v>
      </c>
      <c r="K8" s="30">
        <v>300</v>
      </c>
      <c r="L8" s="29">
        <v>300</v>
      </c>
      <c r="M8" s="30">
        <v>300</v>
      </c>
      <c r="N8" s="29">
        <v>300</v>
      </c>
      <c r="O8" s="23"/>
      <c r="P8" s="2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">
      <c r="A9" s="27" t="s">
        <v>71</v>
      </c>
      <c r="B9" s="23"/>
      <c r="C9" s="25"/>
      <c r="D9" s="23"/>
      <c r="E9" s="25"/>
      <c r="F9" s="23"/>
      <c r="G9" s="25"/>
      <c r="H9" s="23"/>
      <c r="I9" s="25"/>
      <c r="J9" s="23"/>
      <c r="K9" s="25"/>
      <c r="L9" s="23"/>
      <c r="M9" s="25"/>
      <c r="N9" s="23"/>
      <c r="O9" s="23"/>
      <c r="P9" s="2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x14ac:dyDescent="0.2">
      <c r="A10" s="27" t="s">
        <v>14</v>
      </c>
      <c r="B10" s="23"/>
      <c r="C10" s="25"/>
      <c r="D10" s="23"/>
      <c r="E10" s="30">
        <v>1000</v>
      </c>
      <c r="F10" s="23"/>
      <c r="G10" s="25"/>
      <c r="H10" s="29">
        <v>1000</v>
      </c>
      <c r="I10" s="25"/>
      <c r="J10" s="23"/>
      <c r="K10" s="30">
        <v>1000</v>
      </c>
      <c r="L10" s="23"/>
      <c r="M10" s="25"/>
      <c r="N10" s="29">
        <v>1000</v>
      </c>
      <c r="O10" s="23"/>
      <c r="P10" s="2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x14ac:dyDescent="0.2">
      <c r="A11" s="26" t="s">
        <v>15</v>
      </c>
      <c r="B11" s="23"/>
      <c r="C11" s="33">
        <f t="shared" ref="C11:N11" si="1">C4*C5+C7*C8+C9+C10</f>
        <v>6000</v>
      </c>
      <c r="D11" s="34">
        <f t="shared" si="1"/>
        <v>5500</v>
      </c>
      <c r="E11" s="33">
        <f t="shared" si="1"/>
        <v>7500</v>
      </c>
      <c r="F11" s="34">
        <f t="shared" si="1"/>
        <v>7500</v>
      </c>
      <c r="G11" s="33">
        <f t="shared" si="1"/>
        <v>8300</v>
      </c>
      <c r="H11" s="34">
        <f t="shared" si="1"/>
        <v>10100</v>
      </c>
      <c r="I11" s="33">
        <f t="shared" si="1"/>
        <v>9900</v>
      </c>
      <c r="J11" s="34">
        <f t="shared" si="1"/>
        <v>10700</v>
      </c>
      <c r="K11" s="33">
        <f t="shared" si="1"/>
        <v>12300</v>
      </c>
      <c r="L11" s="34">
        <f t="shared" si="1"/>
        <v>11900</v>
      </c>
      <c r="M11" s="33">
        <f t="shared" si="1"/>
        <v>12300</v>
      </c>
      <c r="N11" s="34">
        <f t="shared" si="1"/>
        <v>13700</v>
      </c>
      <c r="O11" s="23"/>
      <c r="P11" s="33">
        <f>SUM(C11:N11)</f>
        <v>115700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x14ac:dyDescent="0.2">
      <c r="A12" s="23"/>
      <c r="B12" s="23"/>
      <c r="C12" s="25"/>
      <c r="D12" s="23"/>
      <c r="E12" s="25"/>
      <c r="F12" s="23"/>
      <c r="G12" s="25"/>
      <c r="H12" s="23"/>
      <c r="I12" s="25"/>
      <c r="J12" s="23"/>
      <c r="K12" s="25"/>
      <c r="L12" s="23"/>
      <c r="M12" s="25"/>
      <c r="N12" s="23"/>
      <c r="O12" s="23"/>
      <c r="P12" s="2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x14ac:dyDescent="0.25">
      <c r="A13" s="24" t="s">
        <v>17</v>
      </c>
      <c r="B13" s="23"/>
      <c r="C13" s="25"/>
      <c r="D13" s="23"/>
      <c r="E13" s="25"/>
      <c r="F13" s="23"/>
      <c r="G13" s="25"/>
      <c r="H13" s="23"/>
      <c r="I13" s="25"/>
      <c r="J13" s="23"/>
      <c r="K13" s="25"/>
      <c r="L13" s="23"/>
      <c r="M13" s="25"/>
      <c r="N13" s="23"/>
      <c r="O13" s="23"/>
      <c r="P13" s="2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x14ac:dyDescent="0.2">
      <c r="A14" s="27" t="s">
        <v>29</v>
      </c>
      <c r="B14" s="29">
        <v>4500</v>
      </c>
      <c r="C14" s="30">
        <v>3000</v>
      </c>
      <c r="D14" s="29">
        <v>3000</v>
      </c>
      <c r="E14" s="30">
        <v>3000</v>
      </c>
      <c r="F14" s="29">
        <v>3000</v>
      </c>
      <c r="G14" s="30">
        <v>3000</v>
      </c>
      <c r="H14" s="29">
        <v>3000</v>
      </c>
      <c r="I14" s="30">
        <v>3000</v>
      </c>
      <c r="J14" s="29">
        <v>3000</v>
      </c>
      <c r="K14" s="30">
        <v>3000</v>
      </c>
      <c r="L14" s="29">
        <v>3000</v>
      </c>
      <c r="M14" s="30">
        <v>3000</v>
      </c>
      <c r="N14" s="29">
        <v>3000</v>
      </c>
      <c r="O14" s="23"/>
      <c r="P14" s="33">
        <f t="shared" ref="P14:P17" si="2">SUM(C14:N14)</f>
        <v>36000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2">
      <c r="A15" s="27" t="s">
        <v>32</v>
      </c>
      <c r="B15" s="29"/>
      <c r="C15" s="30">
        <v>600</v>
      </c>
      <c r="D15" s="29">
        <v>600</v>
      </c>
      <c r="E15" s="30">
        <v>600</v>
      </c>
      <c r="F15" s="29">
        <v>600</v>
      </c>
      <c r="G15" s="30">
        <v>600</v>
      </c>
      <c r="H15" s="29">
        <v>600</v>
      </c>
      <c r="I15" s="30">
        <v>600</v>
      </c>
      <c r="J15" s="29">
        <v>600</v>
      </c>
      <c r="K15" s="30">
        <v>600</v>
      </c>
      <c r="L15" s="29">
        <v>600</v>
      </c>
      <c r="M15" s="30">
        <v>600</v>
      </c>
      <c r="N15" s="29">
        <v>600</v>
      </c>
      <c r="O15" s="23"/>
      <c r="P15" s="33">
        <f t="shared" si="2"/>
        <v>7200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2">
      <c r="A16" s="27" t="s">
        <v>18</v>
      </c>
      <c r="B16" s="29"/>
      <c r="C16" s="30">
        <v>250</v>
      </c>
      <c r="D16" s="29">
        <v>250</v>
      </c>
      <c r="E16" s="30">
        <v>250</v>
      </c>
      <c r="F16" s="29">
        <v>250</v>
      </c>
      <c r="G16" s="30">
        <v>250</v>
      </c>
      <c r="H16" s="29">
        <v>250</v>
      </c>
      <c r="I16" s="30">
        <v>250</v>
      </c>
      <c r="J16" s="29">
        <v>250</v>
      </c>
      <c r="K16" s="30">
        <v>250</v>
      </c>
      <c r="L16" s="29">
        <v>250</v>
      </c>
      <c r="M16" s="30">
        <v>250</v>
      </c>
      <c r="N16" s="29">
        <v>250</v>
      </c>
      <c r="O16" s="23"/>
      <c r="P16" s="33">
        <f t="shared" si="2"/>
        <v>3000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x14ac:dyDescent="0.2">
      <c r="A17" s="27" t="s">
        <v>26</v>
      </c>
      <c r="B17" s="29"/>
      <c r="C17" s="30">
        <f t="shared" ref="C17:N17" si="3">C11*0.025</f>
        <v>150</v>
      </c>
      <c r="D17" s="29">
        <f t="shared" si="3"/>
        <v>137.5</v>
      </c>
      <c r="E17" s="30">
        <f t="shared" si="3"/>
        <v>187.5</v>
      </c>
      <c r="F17" s="29">
        <f t="shared" si="3"/>
        <v>187.5</v>
      </c>
      <c r="G17" s="30">
        <f t="shared" si="3"/>
        <v>207.5</v>
      </c>
      <c r="H17" s="29">
        <f t="shared" si="3"/>
        <v>252.5</v>
      </c>
      <c r="I17" s="30">
        <f t="shared" si="3"/>
        <v>247.5</v>
      </c>
      <c r="J17" s="29">
        <f t="shared" si="3"/>
        <v>267.5</v>
      </c>
      <c r="K17" s="30">
        <f t="shared" si="3"/>
        <v>307.5</v>
      </c>
      <c r="L17" s="29">
        <f t="shared" si="3"/>
        <v>297.5</v>
      </c>
      <c r="M17" s="30">
        <f t="shared" si="3"/>
        <v>307.5</v>
      </c>
      <c r="N17" s="29">
        <f t="shared" si="3"/>
        <v>342.5</v>
      </c>
      <c r="O17" s="23"/>
      <c r="P17" s="33">
        <f t="shared" si="2"/>
        <v>2892.5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x14ac:dyDescent="0.2">
      <c r="A18" s="27" t="s">
        <v>21</v>
      </c>
      <c r="B18" s="29"/>
      <c r="C18" s="30"/>
      <c r="D18" s="29"/>
      <c r="E18" s="30"/>
      <c r="F18" s="29"/>
      <c r="G18" s="30"/>
      <c r="H18" s="29"/>
      <c r="I18" s="30"/>
      <c r="J18" s="29"/>
      <c r="K18" s="30"/>
      <c r="L18" s="29"/>
      <c r="M18" s="30"/>
      <c r="N18" s="29"/>
      <c r="O18" s="23"/>
      <c r="P18" s="2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x14ac:dyDescent="0.2">
      <c r="A19" s="27" t="s">
        <v>23</v>
      </c>
      <c r="B19" s="29">
        <v>250</v>
      </c>
      <c r="C19" s="30">
        <v>500</v>
      </c>
      <c r="D19" s="29">
        <v>500</v>
      </c>
      <c r="E19" s="30">
        <v>500</v>
      </c>
      <c r="F19" s="29">
        <v>500</v>
      </c>
      <c r="G19" s="30">
        <v>500</v>
      </c>
      <c r="H19" s="29">
        <v>500</v>
      </c>
      <c r="I19" s="30">
        <v>500</v>
      </c>
      <c r="J19" s="29">
        <v>500</v>
      </c>
      <c r="K19" s="30">
        <v>500</v>
      </c>
      <c r="L19" s="29">
        <v>500</v>
      </c>
      <c r="M19" s="30">
        <v>500</v>
      </c>
      <c r="N19" s="29">
        <v>500</v>
      </c>
      <c r="O19" s="23"/>
      <c r="P19" s="33">
        <f t="shared" ref="P19:P22" si="4">SUM(C19:N19)</f>
        <v>6000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x14ac:dyDescent="0.2">
      <c r="A20" s="27" t="s">
        <v>25</v>
      </c>
      <c r="B20" s="29"/>
      <c r="C20" s="30"/>
      <c r="D20" s="29"/>
      <c r="E20" s="30">
        <f t="shared" ref="E20:N20" si="5">E4*4</f>
        <v>100</v>
      </c>
      <c r="F20" s="29">
        <f t="shared" si="5"/>
        <v>120</v>
      </c>
      <c r="G20" s="30">
        <f t="shared" si="5"/>
        <v>136</v>
      </c>
      <c r="H20" s="29">
        <f t="shared" si="5"/>
        <v>152</v>
      </c>
      <c r="I20" s="30">
        <f t="shared" si="5"/>
        <v>168</v>
      </c>
      <c r="J20" s="29">
        <f t="shared" si="5"/>
        <v>184</v>
      </c>
      <c r="K20" s="30">
        <f t="shared" si="5"/>
        <v>196</v>
      </c>
      <c r="L20" s="29">
        <f t="shared" si="5"/>
        <v>208</v>
      </c>
      <c r="M20" s="30">
        <f t="shared" si="5"/>
        <v>216</v>
      </c>
      <c r="N20" s="29">
        <f t="shared" si="5"/>
        <v>224</v>
      </c>
      <c r="O20" s="23"/>
      <c r="P20" s="33">
        <f t="shared" si="4"/>
        <v>1704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x14ac:dyDescent="0.2">
      <c r="A21" s="27" t="s">
        <v>19</v>
      </c>
      <c r="B21" s="29"/>
      <c r="C21" s="30">
        <v>200</v>
      </c>
      <c r="D21" s="29">
        <v>200</v>
      </c>
      <c r="E21" s="30">
        <v>200</v>
      </c>
      <c r="F21" s="29">
        <v>200</v>
      </c>
      <c r="G21" s="30">
        <v>200</v>
      </c>
      <c r="H21" s="29">
        <v>200</v>
      </c>
      <c r="I21" s="30">
        <v>200</v>
      </c>
      <c r="J21" s="29">
        <v>200</v>
      </c>
      <c r="K21" s="30">
        <v>200</v>
      </c>
      <c r="L21" s="29">
        <v>200</v>
      </c>
      <c r="M21" s="30">
        <v>200</v>
      </c>
      <c r="N21" s="29">
        <v>200</v>
      </c>
      <c r="O21" s="23"/>
      <c r="P21" s="33">
        <f t="shared" si="4"/>
        <v>2400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">
      <c r="A22" s="27" t="s">
        <v>20</v>
      </c>
      <c r="B22" s="29"/>
      <c r="C22" s="30"/>
      <c r="D22" s="29"/>
      <c r="E22" s="30">
        <v>500</v>
      </c>
      <c r="F22" s="29"/>
      <c r="G22" s="30"/>
      <c r="H22" s="29">
        <v>500</v>
      </c>
      <c r="I22" s="30"/>
      <c r="J22" s="29"/>
      <c r="K22" s="30">
        <v>500</v>
      </c>
      <c r="L22" s="29"/>
      <c r="M22" s="30"/>
      <c r="N22" s="29">
        <v>500</v>
      </c>
      <c r="O22" s="23"/>
      <c r="P22" s="33">
        <f t="shared" si="4"/>
        <v>2000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x14ac:dyDescent="0.2">
      <c r="A23" s="27" t="s">
        <v>22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23"/>
      <c r="P23" s="25"/>
      <c r="Q23" s="5" t="s">
        <v>72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x14ac:dyDescent="0.2">
      <c r="A24" s="27" t="s">
        <v>30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29"/>
      <c r="M24" s="30"/>
      <c r="N24" s="29"/>
      <c r="O24" s="23"/>
      <c r="P24" s="2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2">
      <c r="A25" s="27" t="s">
        <v>27</v>
      </c>
      <c r="B25" s="29">
        <v>10000</v>
      </c>
      <c r="C25" s="30">
        <v>50</v>
      </c>
      <c r="D25" s="29">
        <v>50</v>
      </c>
      <c r="E25" s="30">
        <v>50</v>
      </c>
      <c r="F25" s="29">
        <v>500</v>
      </c>
      <c r="G25" s="30">
        <v>500</v>
      </c>
      <c r="H25" s="29">
        <v>500</v>
      </c>
      <c r="I25" s="30">
        <v>500</v>
      </c>
      <c r="J25" s="29">
        <v>500</v>
      </c>
      <c r="K25" s="30">
        <v>500</v>
      </c>
      <c r="L25" s="29">
        <v>500</v>
      </c>
      <c r="M25" s="30">
        <v>500</v>
      </c>
      <c r="N25" s="29">
        <v>750</v>
      </c>
      <c r="O25" s="23"/>
      <c r="P25" s="33">
        <f t="shared" ref="P25:P27" si="6">SUM(C25:N25)</f>
        <v>4900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x14ac:dyDescent="0.2">
      <c r="A26" s="27" t="s">
        <v>24</v>
      </c>
      <c r="B26" s="29"/>
      <c r="C26" s="30"/>
      <c r="D26" s="29"/>
      <c r="E26" s="30"/>
      <c r="F26" s="29"/>
      <c r="G26" s="30"/>
      <c r="H26" s="29"/>
      <c r="I26" s="30"/>
      <c r="J26" s="29"/>
      <c r="K26" s="30"/>
      <c r="L26" s="29"/>
      <c r="M26" s="30"/>
      <c r="N26" s="29"/>
      <c r="O26" s="23"/>
      <c r="P26" s="33">
        <f t="shared" si="6"/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">
      <c r="A27" s="27" t="s">
        <v>73</v>
      </c>
      <c r="B27" s="29"/>
      <c r="C27" s="30"/>
      <c r="D27" s="29"/>
      <c r="E27" s="30"/>
      <c r="F27" s="29"/>
      <c r="G27" s="30"/>
      <c r="H27" s="29"/>
      <c r="I27" s="30"/>
      <c r="J27" s="29"/>
      <c r="K27" s="30"/>
      <c r="L27" s="29"/>
      <c r="M27" s="30"/>
      <c r="N27" s="29"/>
      <c r="O27" s="23"/>
      <c r="P27" s="33">
        <f t="shared" si="6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">
      <c r="A28" s="26" t="s">
        <v>33</v>
      </c>
      <c r="B28" s="34">
        <f t="shared" ref="B28:N28" si="7">SUM(B14:B27)</f>
        <v>14750</v>
      </c>
      <c r="C28" s="33">
        <f t="shared" si="7"/>
        <v>4750</v>
      </c>
      <c r="D28" s="34">
        <f t="shared" si="7"/>
        <v>4737.5</v>
      </c>
      <c r="E28" s="33">
        <f t="shared" si="7"/>
        <v>5387.5</v>
      </c>
      <c r="F28" s="34">
        <f t="shared" si="7"/>
        <v>5357.5</v>
      </c>
      <c r="G28" s="33">
        <f t="shared" si="7"/>
        <v>5393.5</v>
      </c>
      <c r="H28" s="34">
        <f t="shared" si="7"/>
        <v>5954.5</v>
      </c>
      <c r="I28" s="33">
        <f t="shared" si="7"/>
        <v>5465.5</v>
      </c>
      <c r="J28" s="34">
        <f t="shared" si="7"/>
        <v>5501.5</v>
      </c>
      <c r="K28" s="33">
        <f t="shared" si="7"/>
        <v>6053.5</v>
      </c>
      <c r="L28" s="34">
        <f t="shared" si="7"/>
        <v>5555.5</v>
      </c>
      <c r="M28" s="33">
        <f t="shared" si="7"/>
        <v>5573.5</v>
      </c>
      <c r="N28" s="34">
        <f t="shared" si="7"/>
        <v>6366.5</v>
      </c>
      <c r="O28" s="23"/>
      <c r="P28" s="33">
        <f>SUM(P14:P27)</f>
        <v>66096.5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">
      <c r="A29" s="27"/>
      <c r="B29" s="23"/>
      <c r="C29" s="25"/>
      <c r="D29" s="23"/>
      <c r="E29" s="25"/>
      <c r="F29" s="23"/>
      <c r="G29" s="25"/>
      <c r="H29" s="23"/>
      <c r="I29" s="25"/>
      <c r="J29" s="23"/>
      <c r="K29" s="25"/>
      <c r="L29" s="23"/>
      <c r="M29" s="25"/>
      <c r="N29" s="23"/>
      <c r="O29" s="23"/>
      <c r="P29" s="2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5">
      <c r="A30" s="24" t="s">
        <v>35</v>
      </c>
      <c r="B30" s="23"/>
      <c r="C30" s="25"/>
      <c r="D30" s="23"/>
      <c r="E30" s="25"/>
      <c r="F30" s="23"/>
      <c r="G30" s="25"/>
      <c r="H30" s="23"/>
      <c r="I30" s="25"/>
      <c r="J30" s="23"/>
      <c r="K30" s="25"/>
      <c r="L30" s="23"/>
      <c r="M30" s="25"/>
      <c r="N30" s="23"/>
      <c r="O30" s="23"/>
      <c r="P30" s="2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">
      <c r="A31" s="27" t="s">
        <v>36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23"/>
      <c r="P31" s="33">
        <f t="shared" ref="P31:P35" si="8">SUM(C31:N31)</f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">
      <c r="A32" s="27" t="s">
        <v>74</v>
      </c>
      <c r="B32" s="29"/>
      <c r="C32" s="30"/>
      <c r="D32" s="29"/>
      <c r="E32" s="30"/>
      <c r="F32" s="29"/>
      <c r="G32" s="30"/>
      <c r="H32" s="29"/>
      <c r="I32" s="30"/>
      <c r="J32" s="29"/>
      <c r="K32" s="30"/>
      <c r="L32" s="29"/>
      <c r="M32" s="30"/>
      <c r="N32" s="29"/>
      <c r="O32" s="23"/>
      <c r="P32" s="33">
        <f t="shared" si="8"/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x14ac:dyDescent="0.2">
      <c r="A33" s="27" t="s">
        <v>74</v>
      </c>
      <c r="B33" s="29"/>
      <c r="C33" s="30"/>
      <c r="D33" s="29"/>
      <c r="E33" s="30"/>
      <c r="F33" s="29"/>
      <c r="G33" s="30"/>
      <c r="H33" s="29"/>
      <c r="I33" s="30"/>
      <c r="J33" s="29"/>
      <c r="K33" s="30"/>
      <c r="L33" s="29"/>
      <c r="M33" s="30"/>
      <c r="N33" s="29"/>
      <c r="O33" s="23"/>
      <c r="P33" s="33">
        <f t="shared" si="8"/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x14ac:dyDescent="0.2">
      <c r="A34" s="27" t="s">
        <v>74</v>
      </c>
      <c r="B34" s="29"/>
      <c r="C34" s="30"/>
      <c r="D34" s="29"/>
      <c r="E34" s="30"/>
      <c r="F34" s="29"/>
      <c r="G34" s="30"/>
      <c r="H34" s="29"/>
      <c r="I34" s="30"/>
      <c r="J34" s="29"/>
      <c r="K34" s="30"/>
      <c r="L34" s="29"/>
      <c r="M34" s="30"/>
      <c r="N34" s="29"/>
      <c r="O34" s="23"/>
      <c r="P34" s="33">
        <f t="shared" si="8"/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2">
      <c r="A35" s="27" t="s">
        <v>75</v>
      </c>
      <c r="B35" s="29"/>
      <c r="C35" s="30"/>
      <c r="D35" s="29"/>
      <c r="E35" s="30"/>
      <c r="F35" s="29"/>
      <c r="G35" s="30"/>
      <c r="H35" s="29"/>
      <c r="I35" s="30"/>
      <c r="J35" s="29"/>
      <c r="K35" s="30"/>
      <c r="L35" s="29"/>
      <c r="M35" s="30"/>
      <c r="N35" s="29"/>
      <c r="O35" s="23"/>
      <c r="P35" s="33">
        <f t="shared" si="8"/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x14ac:dyDescent="0.2">
      <c r="A36" s="26" t="s">
        <v>40</v>
      </c>
      <c r="B36" s="29"/>
      <c r="C36" s="30">
        <f t="shared" ref="C36:N36" si="9">SUM(C31:C35)</f>
        <v>0</v>
      </c>
      <c r="D36" s="29">
        <f t="shared" si="9"/>
        <v>0</v>
      </c>
      <c r="E36" s="30">
        <f t="shared" si="9"/>
        <v>0</v>
      </c>
      <c r="F36" s="29">
        <f t="shared" si="9"/>
        <v>0</v>
      </c>
      <c r="G36" s="30">
        <f t="shared" si="9"/>
        <v>0</v>
      </c>
      <c r="H36" s="29">
        <f t="shared" si="9"/>
        <v>0</v>
      </c>
      <c r="I36" s="30">
        <f t="shared" si="9"/>
        <v>0</v>
      </c>
      <c r="J36" s="29">
        <f t="shared" si="9"/>
        <v>0</v>
      </c>
      <c r="K36" s="30">
        <f t="shared" si="9"/>
        <v>0</v>
      </c>
      <c r="L36" s="29">
        <f t="shared" si="9"/>
        <v>0</v>
      </c>
      <c r="M36" s="30">
        <f t="shared" si="9"/>
        <v>0</v>
      </c>
      <c r="N36" s="29">
        <f t="shared" si="9"/>
        <v>0</v>
      </c>
      <c r="O36" s="29"/>
      <c r="P36" s="30">
        <f>SUM(P31:P35)</f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x14ac:dyDescent="0.2">
      <c r="A37" s="23"/>
      <c r="B37" s="29"/>
      <c r="C37" s="30"/>
      <c r="D37" s="29"/>
      <c r="E37" s="30"/>
      <c r="F37" s="29"/>
      <c r="G37" s="30"/>
      <c r="H37" s="29"/>
      <c r="I37" s="30"/>
      <c r="J37" s="29"/>
      <c r="K37" s="30"/>
      <c r="L37" s="29"/>
      <c r="M37" s="30"/>
      <c r="N37" s="29"/>
      <c r="O37" s="23"/>
      <c r="P37" s="2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5">
      <c r="A38" s="24" t="s">
        <v>41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23"/>
      <c r="P38" s="2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2">
      <c r="A39" s="27" t="s">
        <v>42</v>
      </c>
      <c r="B39" s="29">
        <v>7000</v>
      </c>
      <c r="C39" s="30">
        <v>250</v>
      </c>
      <c r="D39" s="29">
        <v>250</v>
      </c>
      <c r="E39" s="30">
        <v>250</v>
      </c>
      <c r="F39" s="29">
        <v>250</v>
      </c>
      <c r="G39" s="30">
        <v>250</v>
      </c>
      <c r="H39" s="29">
        <v>250</v>
      </c>
      <c r="I39" s="30">
        <v>250</v>
      </c>
      <c r="J39" s="29">
        <v>250</v>
      </c>
      <c r="K39" s="30">
        <v>250</v>
      </c>
      <c r="L39" s="29">
        <v>250</v>
      </c>
      <c r="M39" s="30">
        <v>250</v>
      </c>
      <c r="N39" s="29">
        <v>250</v>
      </c>
      <c r="O39" s="23"/>
      <c r="P39" s="33">
        <f>SUM(C39:N39)</f>
        <v>3000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x14ac:dyDescent="0.2">
      <c r="A40" s="26"/>
      <c r="B40" s="29"/>
      <c r="C40" s="30"/>
      <c r="D40" s="29"/>
      <c r="E40" s="30"/>
      <c r="F40" s="29"/>
      <c r="G40" s="30"/>
      <c r="H40" s="29"/>
      <c r="I40" s="30"/>
      <c r="J40" s="29"/>
      <c r="K40" s="30"/>
      <c r="L40" s="29"/>
      <c r="M40" s="30"/>
      <c r="N40" s="29"/>
      <c r="O40" s="23"/>
      <c r="P40" s="2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x14ac:dyDescent="0.2">
      <c r="A41" s="26" t="s">
        <v>43</v>
      </c>
      <c r="B41" s="29">
        <f t="shared" ref="B41:N41" si="10">SUM(B14:B27)+SUM(B31:B35)+B39</f>
        <v>21750</v>
      </c>
      <c r="C41" s="30">
        <f t="shared" si="10"/>
        <v>5000</v>
      </c>
      <c r="D41" s="29">
        <f t="shared" si="10"/>
        <v>4987.5</v>
      </c>
      <c r="E41" s="30">
        <f t="shared" si="10"/>
        <v>5637.5</v>
      </c>
      <c r="F41" s="29">
        <f t="shared" si="10"/>
        <v>5607.5</v>
      </c>
      <c r="G41" s="30">
        <f t="shared" si="10"/>
        <v>5643.5</v>
      </c>
      <c r="H41" s="29">
        <f t="shared" si="10"/>
        <v>6204.5</v>
      </c>
      <c r="I41" s="30">
        <f t="shared" si="10"/>
        <v>5715.5</v>
      </c>
      <c r="J41" s="29">
        <f t="shared" si="10"/>
        <v>5751.5</v>
      </c>
      <c r="K41" s="30">
        <f t="shared" si="10"/>
        <v>6303.5</v>
      </c>
      <c r="L41" s="29">
        <f t="shared" si="10"/>
        <v>5805.5</v>
      </c>
      <c r="M41" s="30">
        <f t="shared" si="10"/>
        <v>5823.5</v>
      </c>
      <c r="N41" s="29">
        <f t="shared" si="10"/>
        <v>6616.5</v>
      </c>
      <c r="O41" s="23"/>
      <c r="P41" s="33">
        <f t="shared" ref="P41:P42" si="11">SUM(C41:N41)</f>
        <v>69096.5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x14ac:dyDescent="0.2">
      <c r="A42" s="26" t="s">
        <v>76</v>
      </c>
      <c r="B42" s="29"/>
      <c r="C42" s="30">
        <f t="shared" ref="C42:N42" si="12">C11-C41</f>
        <v>1000</v>
      </c>
      <c r="D42" s="29">
        <f t="shared" si="12"/>
        <v>512.5</v>
      </c>
      <c r="E42" s="30">
        <f t="shared" si="12"/>
        <v>1862.5</v>
      </c>
      <c r="F42" s="29">
        <f t="shared" si="12"/>
        <v>1892.5</v>
      </c>
      <c r="G42" s="30">
        <f t="shared" si="12"/>
        <v>2656.5</v>
      </c>
      <c r="H42" s="29">
        <f t="shared" si="12"/>
        <v>3895.5</v>
      </c>
      <c r="I42" s="30">
        <f t="shared" si="12"/>
        <v>4184.5</v>
      </c>
      <c r="J42" s="29">
        <f t="shared" si="12"/>
        <v>4948.5</v>
      </c>
      <c r="K42" s="30">
        <f t="shared" si="12"/>
        <v>5996.5</v>
      </c>
      <c r="L42" s="29">
        <f t="shared" si="12"/>
        <v>6094.5</v>
      </c>
      <c r="M42" s="30">
        <f t="shared" si="12"/>
        <v>6476.5</v>
      </c>
      <c r="N42" s="29">
        <f t="shared" si="12"/>
        <v>7083.5</v>
      </c>
      <c r="O42" s="23"/>
      <c r="P42" s="33">
        <f t="shared" si="11"/>
        <v>46603.5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">
      <c r="A43" s="26"/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23"/>
      <c r="P43" s="2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25">
      <c r="A44" s="24" t="s">
        <v>45</v>
      </c>
      <c r="B44" s="29"/>
      <c r="C44" s="30"/>
      <c r="D44" s="29"/>
      <c r="E44" s="30"/>
      <c r="F44" s="29"/>
      <c r="G44" s="30"/>
      <c r="H44" s="29"/>
      <c r="I44" s="30"/>
      <c r="J44" s="29"/>
      <c r="K44" s="30"/>
      <c r="L44" s="29"/>
      <c r="M44" s="30"/>
      <c r="N44" s="29"/>
      <c r="O44" s="23"/>
      <c r="P44" s="2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">
      <c r="A45" s="27" t="s">
        <v>48</v>
      </c>
      <c r="B45" s="29"/>
      <c r="C45" s="30">
        <v>1000</v>
      </c>
      <c r="D45" s="29">
        <v>2000</v>
      </c>
      <c r="E45" s="30">
        <v>2000</v>
      </c>
      <c r="F45" s="29">
        <v>3000</v>
      </c>
      <c r="G45" s="30">
        <v>4000</v>
      </c>
      <c r="H45" s="29">
        <v>4000</v>
      </c>
      <c r="I45" s="30">
        <v>5000</v>
      </c>
      <c r="J45" s="29">
        <v>5000</v>
      </c>
      <c r="K45" s="30">
        <v>5000</v>
      </c>
      <c r="L45" s="29">
        <v>5000</v>
      </c>
      <c r="M45" s="30">
        <v>5000</v>
      </c>
      <c r="N45" s="29">
        <v>5000</v>
      </c>
      <c r="O45" s="23"/>
      <c r="P45" s="33">
        <f t="shared" ref="P45:P47" si="13">SUM(C45:N45)</f>
        <v>46000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2">
      <c r="A46" s="27" t="s">
        <v>49</v>
      </c>
      <c r="B46" s="29"/>
      <c r="C46" s="30"/>
      <c r="D46" s="29"/>
      <c r="E46" s="30"/>
      <c r="F46" s="29"/>
      <c r="G46" s="30"/>
      <c r="H46" s="29"/>
      <c r="I46" s="30"/>
      <c r="J46" s="29"/>
      <c r="K46" s="30"/>
      <c r="L46" s="29"/>
      <c r="M46" s="30"/>
      <c r="N46" s="29"/>
      <c r="O46" s="23"/>
      <c r="P46" s="33">
        <f t="shared" si="13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2">
      <c r="A47" s="27" t="s">
        <v>50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23"/>
      <c r="P47" s="33">
        <f t="shared" si="13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x14ac:dyDescent="0.2">
      <c r="A48" s="26" t="s">
        <v>51</v>
      </c>
      <c r="B48" s="29"/>
      <c r="C48" s="30">
        <f t="shared" ref="C48:N48" si="14">SUM(C45:C47)</f>
        <v>1000</v>
      </c>
      <c r="D48" s="29">
        <f t="shared" si="14"/>
        <v>2000</v>
      </c>
      <c r="E48" s="30">
        <f t="shared" si="14"/>
        <v>2000</v>
      </c>
      <c r="F48" s="29">
        <f t="shared" si="14"/>
        <v>3000</v>
      </c>
      <c r="G48" s="30">
        <f t="shared" si="14"/>
        <v>4000</v>
      </c>
      <c r="H48" s="29">
        <f t="shared" si="14"/>
        <v>4000</v>
      </c>
      <c r="I48" s="30">
        <f t="shared" si="14"/>
        <v>5000</v>
      </c>
      <c r="J48" s="29">
        <f t="shared" si="14"/>
        <v>5000</v>
      </c>
      <c r="K48" s="30">
        <f t="shared" si="14"/>
        <v>5000</v>
      </c>
      <c r="L48" s="29">
        <f t="shared" si="14"/>
        <v>5000</v>
      </c>
      <c r="M48" s="30">
        <f t="shared" si="14"/>
        <v>5000</v>
      </c>
      <c r="N48" s="29">
        <f t="shared" si="14"/>
        <v>5000</v>
      </c>
      <c r="O48" s="29"/>
      <c r="P48" s="30">
        <f>SUM(P45:P47)</f>
        <v>46000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customHeight="1" x14ac:dyDescent="0.2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6"/>
      <c r="N49" s="35"/>
      <c r="O49" s="35"/>
      <c r="P49" s="36"/>
    </row>
    <row r="50" spans="1:28" x14ac:dyDescent="0.25">
      <c r="A50" s="24" t="s">
        <v>52</v>
      </c>
      <c r="B50" s="23"/>
      <c r="C50" s="33">
        <f t="shared" ref="C50:N50" si="15">C42-(SUM(C45:C47))</f>
        <v>0</v>
      </c>
      <c r="D50" s="34">
        <f t="shared" si="15"/>
        <v>-1487.5</v>
      </c>
      <c r="E50" s="33">
        <f t="shared" si="15"/>
        <v>-137.5</v>
      </c>
      <c r="F50" s="34">
        <f t="shared" si="15"/>
        <v>-1107.5</v>
      </c>
      <c r="G50" s="33">
        <f t="shared" si="15"/>
        <v>-1343.5</v>
      </c>
      <c r="H50" s="34">
        <f t="shared" si="15"/>
        <v>-104.5</v>
      </c>
      <c r="I50" s="33">
        <f t="shared" si="15"/>
        <v>-815.5</v>
      </c>
      <c r="J50" s="34">
        <f t="shared" si="15"/>
        <v>-51.5</v>
      </c>
      <c r="K50" s="33">
        <f t="shared" si="15"/>
        <v>996.5</v>
      </c>
      <c r="L50" s="34">
        <f t="shared" si="15"/>
        <v>1094.5</v>
      </c>
      <c r="M50" s="33">
        <f t="shared" si="15"/>
        <v>1476.5</v>
      </c>
      <c r="N50" s="34">
        <f t="shared" si="15"/>
        <v>2083.5</v>
      </c>
      <c r="O50" s="23"/>
      <c r="P50" s="33">
        <f>SUM(C50:N50)</f>
        <v>603.5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2">
      <c r="A51" s="23"/>
      <c r="B51" s="23"/>
      <c r="C51" s="25"/>
      <c r="D51" s="23"/>
      <c r="E51" s="25"/>
      <c r="F51" s="23"/>
      <c r="G51" s="25"/>
      <c r="H51" s="23"/>
      <c r="I51" s="25"/>
      <c r="J51" s="23"/>
      <c r="K51" s="25"/>
      <c r="L51" s="23"/>
      <c r="M51" s="25"/>
      <c r="N51" s="23"/>
      <c r="O51" s="23"/>
      <c r="P51" s="2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x14ac:dyDescent="0.2">
      <c r="A52" s="26" t="s">
        <v>17</v>
      </c>
      <c r="B52" s="37"/>
      <c r="C52" s="38">
        <f t="shared" ref="C52:N52" si="16">C28/C$11</f>
        <v>0.79166666666666663</v>
      </c>
      <c r="D52" s="37">
        <f t="shared" si="16"/>
        <v>0.86136363636363633</v>
      </c>
      <c r="E52" s="38">
        <f t="shared" si="16"/>
        <v>0.71833333333333338</v>
      </c>
      <c r="F52" s="37">
        <f t="shared" si="16"/>
        <v>0.71433333333333338</v>
      </c>
      <c r="G52" s="38">
        <f t="shared" si="16"/>
        <v>0.64981927710843379</v>
      </c>
      <c r="H52" s="37">
        <f t="shared" si="16"/>
        <v>0.58955445544554452</v>
      </c>
      <c r="I52" s="38">
        <f t="shared" si="16"/>
        <v>0.55207070707070705</v>
      </c>
      <c r="J52" s="37">
        <f t="shared" si="16"/>
        <v>0.5141588785046729</v>
      </c>
      <c r="K52" s="38">
        <f t="shared" si="16"/>
        <v>0.49215447154471542</v>
      </c>
      <c r="L52" s="37">
        <f t="shared" si="16"/>
        <v>0.4668487394957983</v>
      </c>
      <c r="M52" s="38">
        <f t="shared" si="16"/>
        <v>0.453130081300813</v>
      </c>
      <c r="N52" s="37">
        <f t="shared" si="16"/>
        <v>0.46470802919708032</v>
      </c>
      <c r="O52" s="23"/>
      <c r="P52" s="38">
        <f>P28/P$11</f>
        <v>0.57127484874675882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x14ac:dyDescent="0.2">
      <c r="A53" s="26" t="s">
        <v>35</v>
      </c>
      <c r="B53" s="37"/>
      <c r="C53" s="38">
        <f t="shared" ref="C53:N53" si="17">C36/C$11</f>
        <v>0</v>
      </c>
      <c r="D53" s="37">
        <f t="shared" si="17"/>
        <v>0</v>
      </c>
      <c r="E53" s="38">
        <f t="shared" si="17"/>
        <v>0</v>
      </c>
      <c r="F53" s="37">
        <f t="shared" si="17"/>
        <v>0</v>
      </c>
      <c r="G53" s="38">
        <f t="shared" si="17"/>
        <v>0</v>
      </c>
      <c r="H53" s="37">
        <f t="shared" si="17"/>
        <v>0</v>
      </c>
      <c r="I53" s="38">
        <f t="shared" si="17"/>
        <v>0</v>
      </c>
      <c r="J53" s="37">
        <f t="shared" si="17"/>
        <v>0</v>
      </c>
      <c r="K53" s="38">
        <f t="shared" si="17"/>
        <v>0</v>
      </c>
      <c r="L53" s="37">
        <f t="shared" si="17"/>
        <v>0</v>
      </c>
      <c r="M53" s="38">
        <f t="shared" si="17"/>
        <v>0</v>
      </c>
      <c r="N53" s="37">
        <f t="shared" si="17"/>
        <v>0</v>
      </c>
      <c r="O53" s="23"/>
      <c r="P53" s="38">
        <f>P36/P$11</f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x14ac:dyDescent="0.2">
      <c r="A54" s="26" t="s">
        <v>53</v>
      </c>
      <c r="B54" s="23"/>
      <c r="C54" s="38">
        <f t="shared" ref="C54:N54" si="18">SUM(C55:C57)</f>
        <v>0.20833333333333331</v>
      </c>
      <c r="D54" s="37">
        <f t="shared" si="18"/>
        <v>0.13863636363636367</v>
      </c>
      <c r="E54" s="38">
        <f t="shared" si="18"/>
        <v>0.28166666666666668</v>
      </c>
      <c r="F54" s="37">
        <f t="shared" si="18"/>
        <v>0.28566666666666668</v>
      </c>
      <c r="G54" s="38">
        <f t="shared" si="18"/>
        <v>0.35018072289156632</v>
      </c>
      <c r="H54" s="37">
        <f t="shared" si="18"/>
        <v>0.41044554455445548</v>
      </c>
      <c r="I54" s="38">
        <f t="shared" si="18"/>
        <v>0.44792929292929301</v>
      </c>
      <c r="J54" s="37">
        <f t="shared" si="18"/>
        <v>0.4858411214953271</v>
      </c>
      <c r="K54" s="38">
        <f t="shared" si="18"/>
        <v>0.50784552845528452</v>
      </c>
      <c r="L54" s="37">
        <f t="shared" si="18"/>
        <v>0.5331512605042017</v>
      </c>
      <c r="M54" s="38">
        <f t="shared" si="18"/>
        <v>0.546869918699187</v>
      </c>
      <c r="N54" s="37">
        <f t="shared" si="18"/>
        <v>0.53529197080291968</v>
      </c>
      <c r="O54" s="23"/>
      <c r="P54" s="38">
        <f>SUM(P55:P57)</f>
        <v>0.42872515125324112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x14ac:dyDescent="0.2">
      <c r="A55" s="39" t="s">
        <v>54</v>
      </c>
      <c r="B55" s="40"/>
      <c r="C55" s="40">
        <f t="shared" ref="C55:N55" si="19">C48/C$11</f>
        <v>0.16666666666666666</v>
      </c>
      <c r="D55" s="40">
        <f t="shared" si="19"/>
        <v>0.36363636363636365</v>
      </c>
      <c r="E55" s="40">
        <f t="shared" si="19"/>
        <v>0.26666666666666666</v>
      </c>
      <c r="F55" s="40">
        <f t="shared" si="19"/>
        <v>0.4</v>
      </c>
      <c r="G55" s="40">
        <f t="shared" si="19"/>
        <v>0.48192771084337349</v>
      </c>
      <c r="H55" s="40">
        <f t="shared" si="19"/>
        <v>0.39603960396039606</v>
      </c>
      <c r="I55" s="40">
        <f t="shared" si="19"/>
        <v>0.50505050505050508</v>
      </c>
      <c r="J55" s="40">
        <f t="shared" si="19"/>
        <v>0.46728971962616822</v>
      </c>
      <c r="K55" s="40">
        <f t="shared" si="19"/>
        <v>0.4065040650406504</v>
      </c>
      <c r="L55" s="40">
        <f t="shared" si="19"/>
        <v>0.42016806722689076</v>
      </c>
      <c r="M55" s="40">
        <f t="shared" si="19"/>
        <v>0.4065040650406504</v>
      </c>
      <c r="N55" s="40">
        <f t="shared" si="19"/>
        <v>0.36496350364963503</v>
      </c>
      <c r="O55" s="41"/>
      <c r="P55" s="40">
        <f>P48/P$11</f>
        <v>0.39757994814174591</v>
      </c>
    </row>
    <row r="56" spans="1:28" x14ac:dyDescent="0.2">
      <c r="A56" s="39" t="s">
        <v>55</v>
      </c>
      <c r="B56" s="40"/>
      <c r="C56" s="40">
        <f t="shared" ref="C56:N56" si="20">C39/C$11</f>
        <v>4.1666666666666664E-2</v>
      </c>
      <c r="D56" s="40">
        <f t="shared" si="20"/>
        <v>4.5454545454545456E-2</v>
      </c>
      <c r="E56" s="40">
        <f t="shared" si="20"/>
        <v>3.3333333333333333E-2</v>
      </c>
      <c r="F56" s="40">
        <f t="shared" si="20"/>
        <v>3.3333333333333333E-2</v>
      </c>
      <c r="G56" s="40">
        <f t="shared" si="20"/>
        <v>3.0120481927710843E-2</v>
      </c>
      <c r="H56" s="40">
        <f t="shared" si="20"/>
        <v>2.4752475247524754E-2</v>
      </c>
      <c r="I56" s="40">
        <f t="shared" si="20"/>
        <v>2.5252525252525252E-2</v>
      </c>
      <c r="J56" s="40">
        <f t="shared" si="20"/>
        <v>2.336448598130841E-2</v>
      </c>
      <c r="K56" s="40">
        <f t="shared" si="20"/>
        <v>2.032520325203252E-2</v>
      </c>
      <c r="L56" s="40">
        <f t="shared" si="20"/>
        <v>2.100840336134454E-2</v>
      </c>
      <c r="M56" s="40">
        <f t="shared" si="20"/>
        <v>2.032520325203252E-2</v>
      </c>
      <c r="N56" s="40">
        <f t="shared" si="20"/>
        <v>1.824817518248175E-2</v>
      </c>
      <c r="O56" s="42"/>
      <c r="P56" s="40">
        <f>P39/P$11</f>
        <v>2.5929127052722559E-2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x14ac:dyDescent="0.2">
      <c r="A57" s="39" t="s">
        <v>56</v>
      </c>
      <c r="B57" s="40"/>
      <c r="C57" s="40">
        <f t="shared" ref="C57:N57" si="21">C50/C$11</f>
        <v>0</v>
      </c>
      <c r="D57" s="40">
        <f t="shared" si="21"/>
        <v>-0.27045454545454545</v>
      </c>
      <c r="E57" s="40">
        <f t="shared" si="21"/>
        <v>-1.8333333333333333E-2</v>
      </c>
      <c r="F57" s="40">
        <f t="shared" si="21"/>
        <v>-0.14766666666666667</v>
      </c>
      <c r="G57" s="40">
        <f t="shared" si="21"/>
        <v>-0.16186746987951808</v>
      </c>
      <c r="H57" s="40">
        <f t="shared" si="21"/>
        <v>-1.0346534653465347E-2</v>
      </c>
      <c r="I57" s="40">
        <f t="shared" si="21"/>
        <v>-8.2373737373737377E-2</v>
      </c>
      <c r="J57" s="40">
        <f t="shared" si="21"/>
        <v>-4.8130841121495323E-3</v>
      </c>
      <c r="K57" s="40">
        <f t="shared" si="21"/>
        <v>8.1016260162601619E-2</v>
      </c>
      <c r="L57" s="40">
        <f t="shared" si="21"/>
        <v>9.1974789915966387E-2</v>
      </c>
      <c r="M57" s="40">
        <f t="shared" si="21"/>
        <v>0.12004065040650407</v>
      </c>
      <c r="N57" s="40">
        <f t="shared" si="21"/>
        <v>0.15208029197080292</v>
      </c>
      <c r="O57" s="42"/>
      <c r="P57" s="40">
        <f>P50/P$11</f>
        <v>5.2160760587726882E-3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1:28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1:28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28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1:28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1:28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1:28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1:28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1:28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1:28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1:28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1:28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1:28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1:28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1:28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1:28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1:28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</row>
  </sheetData>
  <conditionalFormatting sqref="B50:P50">
    <cfRule type="cellIs" dxfId="1" priority="1" operator="less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1026"/>
  <sheetViews>
    <sheetView workbookViewId="0"/>
  </sheetViews>
  <sheetFormatPr defaultColWidth="14.42578125" defaultRowHeight="15.75" customHeight="1" x14ac:dyDescent="0.2"/>
  <cols>
    <col min="1" max="1" width="28" customWidth="1"/>
    <col min="2" max="2" width="9.85546875" customWidth="1"/>
    <col min="3" max="3" width="8.42578125" customWidth="1"/>
    <col min="4" max="4" width="5.42578125" customWidth="1"/>
    <col min="6" max="6" width="5.28515625" customWidth="1"/>
    <col min="7" max="7" width="7.28515625" customWidth="1"/>
  </cols>
  <sheetData>
    <row r="1" spans="1:15" x14ac:dyDescent="0.2">
      <c r="A1" s="1" t="s">
        <v>0</v>
      </c>
      <c r="B1" s="2" t="s">
        <v>1</v>
      </c>
      <c r="C1" s="2" t="s">
        <v>2</v>
      </c>
      <c r="D1" s="1"/>
      <c r="E1" s="1" t="s">
        <v>3</v>
      </c>
      <c r="F1" s="3">
        <v>30</v>
      </c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 s="5" t="s">
        <v>4</v>
      </c>
      <c r="B2" s="6">
        <v>50</v>
      </c>
      <c r="C2" s="4"/>
      <c r="D2" s="1"/>
      <c r="E2" s="1" t="s">
        <v>5</v>
      </c>
      <c r="F2" s="6">
        <v>22</v>
      </c>
      <c r="G2" s="4"/>
      <c r="H2" s="4"/>
      <c r="I2" s="4"/>
      <c r="J2" s="4"/>
      <c r="K2" s="4"/>
      <c r="L2" s="4"/>
      <c r="M2" s="4"/>
      <c r="N2" s="4"/>
      <c r="O2" s="4"/>
    </row>
    <row r="3" spans="1:15" x14ac:dyDescent="0.2">
      <c r="A3" s="5" t="s">
        <v>6</v>
      </c>
      <c r="B3" s="3">
        <v>205</v>
      </c>
      <c r="C3" s="4"/>
      <c r="D3" s="1"/>
      <c r="E3" s="1" t="s">
        <v>7</v>
      </c>
      <c r="F3" s="7">
        <v>0.25</v>
      </c>
      <c r="G3" s="5" t="s">
        <v>8</v>
      </c>
      <c r="H3" s="4"/>
      <c r="I3" s="4"/>
      <c r="J3" s="4"/>
      <c r="K3" s="4"/>
      <c r="L3" s="4"/>
      <c r="M3" s="4"/>
      <c r="N3" s="4"/>
      <c r="O3" s="4"/>
    </row>
    <row r="4" spans="1:15" x14ac:dyDescent="0.2">
      <c r="A4" s="5" t="s">
        <v>9</v>
      </c>
      <c r="B4" s="8">
        <v>0.95</v>
      </c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5" t="s">
        <v>10</v>
      </c>
      <c r="B5" s="9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5" t="s">
        <v>11</v>
      </c>
      <c r="B6" s="3">
        <v>300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5" t="s">
        <v>12</v>
      </c>
      <c r="B7" s="4"/>
      <c r="D7" s="11" t="str">
        <f>TEXT(B7/B10*100,"0")&amp;"% of total Revenue"</f>
        <v>0% of total Revenue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5" t="s">
        <v>13</v>
      </c>
      <c r="B8" s="12"/>
      <c r="D8" s="11" t="str">
        <f>TEXT(B8/B10*100,"0")&amp;"% of total Revenue"</f>
        <v>0% of total Revenue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13" t="s">
        <v>14</v>
      </c>
      <c r="B9" s="14">
        <v>250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">
      <c r="A10" s="1" t="s">
        <v>15</v>
      </c>
      <c r="B10" s="10">
        <f>B2*B3+B5*B6+B7+B9</f>
        <v>12000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">
      <c r="A11" s="1" t="s">
        <v>16</v>
      </c>
      <c r="B11" s="10">
        <f>B10/B2</f>
        <v>240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1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">
      <c r="A14" s="5" t="s">
        <v>18</v>
      </c>
      <c r="B14" s="3">
        <v>250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">
      <c r="A15" s="5" t="s">
        <v>19</v>
      </c>
      <c r="B15" s="3">
        <v>300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">
      <c r="A16" s="5" t="s">
        <v>20</v>
      </c>
      <c r="B16" s="3">
        <v>150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">
      <c r="A17" s="5" t="s">
        <v>21</v>
      </c>
      <c r="B17" s="3">
        <v>200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">
      <c r="A18" s="5" t="s">
        <v>22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">
      <c r="A19" s="5" t="s">
        <v>23</v>
      </c>
      <c r="B19" s="3">
        <v>300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">
      <c r="A20" s="5" t="s">
        <v>24</v>
      </c>
      <c r="B20" s="3">
        <v>100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">
      <c r="A21" s="5" t="s">
        <v>25</v>
      </c>
      <c r="B21" s="3">
        <f>B2*4</f>
        <v>200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">
      <c r="A22" s="5" t="s">
        <v>26</v>
      </c>
      <c r="B22" s="3">
        <f>B10*0.025</f>
        <v>300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">
      <c r="A23" s="5" t="s">
        <v>27</v>
      </c>
      <c r="B23" s="3">
        <v>100</v>
      </c>
      <c r="C23" s="1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">
      <c r="A24" s="5" t="s">
        <v>28</v>
      </c>
      <c r="B24" s="3">
        <v>250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5" t="s">
        <v>29</v>
      </c>
      <c r="B25" s="3">
        <v>2500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">
      <c r="A26" s="5" t="s">
        <v>30</v>
      </c>
      <c r="B26" s="3">
        <v>700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">
      <c r="A27" s="5" t="s">
        <v>31</v>
      </c>
      <c r="B27" s="3">
        <v>500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">
      <c r="A28" s="13" t="s">
        <v>32</v>
      </c>
      <c r="B28" s="14">
        <v>600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">
      <c r="A29" s="1" t="s">
        <v>33</v>
      </c>
      <c r="B29" s="10">
        <f>SUM(B14:B28)</f>
        <v>6450</v>
      </c>
      <c r="C29" s="4"/>
      <c r="D29" s="5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">
      <c r="A31" s="1" t="s">
        <v>35</v>
      </c>
      <c r="B31" s="4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">
      <c r="A32" s="5" t="s">
        <v>36</v>
      </c>
      <c r="B32" s="3"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5" t="s">
        <v>37</v>
      </c>
      <c r="B33" s="12">
        <f>($F$2-B45)*$F$1*(1+$F$3)*4.333</f>
        <v>0</v>
      </c>
      <c r="C33" s="12">
        <f t="shared" ref="C33:C36" si="0">B33 * 12</f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5" t="s">
        <v>38</v>
      </c>
      <c r="B34" s="12">
        <f>B7*0.44+(B6*B5*0.44)</f>
        <v>660</v>
      </c>
      <c r="C34" s="12">
        <f t="shared" si="0"/>
        <v>7920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13" t="s">
        <v>39</v>
      </c>
      <c r="B35" s="14"/>
      <c r="C35" s="12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1" t="s">
        <v>40</v>
      </c>
      <c r="B36" s="12">
        <f>SUM(B32:B35)</f>
        <v>660</v>
      </c>
      <c r="C36" s="12">
        <f t="shared" si="0"/>
        <v>7920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4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1" t="s">
        <v>41</v>
      </c>
      <c r="B38" s="12"/>
      <c r="C38" s="1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5" t="s">
        <v>42</v>
      </c>
      <c r="B39" s="3">
        <v>250</v>
      </c>
      <c r="C39" s="12">
        <f>B39 * 12</f>
        <v>3000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1"/>
      <c r="B40" s="1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1" t="s">
        <v>43</v>
      </c>
      <c r="B41" s="12">
        <f>B39+B36+B29</f>
        <v>7360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1" t="s">
        <v>44</v>
      </c>
      <c r="B42" s="12">
        <f>B10-B41</f>
        <v>4640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1"/>
      <c r="B43" s="1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1" t="s">
        <v>45</v>
      </c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5" t="s">
        <v>46</v>
      </c>
      <c r="B45" s="16">
        <v>22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5" t="s">
        <v>47</v>
      </c>
      <c r="B46" s="12">
        <f>B45*$F$1*(1+$F$3)*4.333</f>
        <v>3574.7250000000004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5" t="s">
        <v>48</v>
      </c>
      <c r="B47" s="3">
        <v>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5" t="s">
        <v>49</v>
      </c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13" t="s">
        <v>50</v>
      </c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1" t="s">
        <v>51</v>
      </c>
      <c r="B50" s="12">
        <f>SUM(B46:B49)</f>
        <v>3574.7250000000004</v>
      </c>
      <c r="C50" s="12">
        <f>B50 * 12</f>
        <v>42896.700000000004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1" t="s">
        <v>52</v>
      </c>
      <c r="B52" s="10">
        <f>B42-B50</f>
        <v>1065.2749999999996</v>
      </c>
      <c r="C52" s="12">
        <f>B52 * 12</f>
        <v>12783.299999999996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1" t="s">
        <v>17</v>
      </c>
      <c r="B55" s="11">
        <f>B29/B$10</f>
        <v>0.53749999999999998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1" t="s">
        <v>35</v>
      </c>
      <c r="B56" s="11">
        <f>B36/B$10</f>
        <v>5.5E-2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1" t="s">
        <v>53</v>
      </c>
      <c r="B57" s="11">
        <f>SUM(B58:B60)</f>
        <v>0.40749999999999997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18" t="s">
        <v>54</v>
      </c>
      <c r="B58" s="19">
        <f>B50/B$10</f>
        <v>0.29789375000000001</v>
      </c>
      <c r="C58" s="2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18" t="s">
        <v>55</v>
      </c>
      <c r="B59" s="19">
        <f>B39/B$10</f>
        <v>2.0833333333333332E-2</v>
      </c>
      <c r="C59" s="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18" t="s">
        <v>56</v>
      </c>
      <c r="B60" s="19">
        <f>B52/B$10</f>
        <v>8.8772916666666632E-2</v>
      </c>
      <c r="C60" s="21"/>
    </row>
    <row r="61" spans="1:15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4:15" x14ac:dyDescent="0.2"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4:15" x14ac:dyDescent="0.2"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</sheetData>
  <conditionalFormatting sqref="B52">
    <cfRule type="cellIs" dxfId="0" priority="1" operator="lessThan">
      <formula>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Target - 150</vt:lpstr>
      <vt:lpstr>Sheet1</vt:lpstr>
      <vt:lpstr>Target - 50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 Thompson</dc:creator>
  <cp:lastModifiedBy>Tiff Thompson</cp:lastModifiedBy>
  <dcterms:created xsi:type="dcterms:W3CDTF">2021-03-30T14:11:17Z</dcterms:created>
  <dcterms:modified xsi:type="dcterms:W3CDTF">2021-03-30T14:34:23Z</dcterms:modified>
</cp:coreProperties>
</file>